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760" yWindow="0" windowWidth="25365" windowHeight="15300" tabRatio="500"/>
  </bookViews>
  <sheets>
    <sheet name="Budgetreport" sheetId="1" r:id="rId1"/>
    <sheet name="Giving" sheetId="2" r:id="rId2"/>
    <sheet name="Staff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5" i="1"/>
  <c r="H12"/>
  <c r="H25"/>
  <c r="H27"/>
  <c r="H113"/>
  <c r="H36"/>
  <c r="H37"/>
  <c r="H46"/>
  <c r="H53"/>
  <c r="H62"/>
  <c r="H67"/>
  <c r="H75"/>
  <c r="H97"/>
  <c r="H103"/>
  <c r="H115"/>
  <c r="H117"/>
  <c r="L117"/>
  <c r="K19" i="2"/>
  <c r="K12"/>
  <c r="K13"/>
  <c r="K16"/>
  <c r="E23"/>
  <c r="E21"/>
  <c r="M13"/>
  <c r="M16"/>
  <c r="M15"/>
  <c r="K15"/>
  <c r="M10"/>
  <c r="E15"/>
  <c r="E16"/>
  <c r="F19"/>
  <c r="G7"/>
  <c r="G11"/>
  <c r="E18"/>
  <c r="E19"/>
  <c r="M9"/>
  <c r="K5"/>
  <c r="G5"/>
  <c r="G6"/>
  <c r="G8"/>
  <c r="G16"/>
  <c r="F4" i="3"/>
  <c r="F6"/>
  <c r="F9"/>
  <c r="E5" i="2"/>
  <c r="E6"/>
  <c r="E7"/>
  <c r="E8"/>
  <c r="E9"/>
  <c r="E11"/>
  <c r="E13"/>
  <c r="I7"/>
  <c r="E14"/>
  <c r="L16"/>
  <c r="L5"/>
  <c r="L8"/>
  <c r="H8"/>
  <c r="H6"/>
  <c r="H5"/>
  <c r="H11"/>
  <c r="L8" i="1"/>
  <c r="L10"/>
  <c r="L12"/>
  <c r="L15"/>
  <c r="L16"/>
  <c r="L17"/>
  <c r="L18"/>
  <c r="L19"/>
  <c r="L20"/>
  <c r="L21"/>
  <c r="L22"/>
  <c r="L23"/>
  <c r="L25"/>
  <c r="L27"/>
  <c r="L115"/>
  <c r="L113"/>
  <c r="L111"/>
  <c r="L103"/>
  <c r="L78"/>
  <c r="L79"/>
  <c r="L80"/>
  <c r="L81"/>
  <c r="L82"/>
  <c r="L83"/>
  <c r="L84"/>
  <c r="L85"/>
  <c r="L86"/>
  <c r="L87"/>
  <c r="L88"/>
  <c r="L89"/>
  <c r="L90"/>
  <c r="L91"/>
  <c r="L96"/>
  <c r="L97"/>
  <c r="L70"/>
  <c r="L71"/>
  <c r="L72"/>
  <c r="L73"/>
  <c r="L74"/>
  <c r="L75"/>
  <c r="L65"/>
  <c r="L66"/>
  <c r="L67"/>
  <c r="L56"/>
  <c r="L57"/>
  <c r="L58"/>
  <c r="L59"/>
  <c r="L60"/>
  <c r="L62"/>
  <c r="L49"/>
  <c r="L50"/>
  <c r="L51"/>
  <c r="L52"/>
  <c r="L53"/>
  <c r="L36"/>
  <c r="L37"/>
  <c r="L33"/>
  <c r="L34"/>
  <c r="L35"/>
  <c r="L38"/>
  <c r="L39"/>
  <c r="L40"/>
  <c r="L41"/>
  <c r="L42"/>
  <c r="L43"/>
  <c r="L44"/>
  <c r="L45"/>
  <c r="L46"/>
  <c r="L102"/>
  <c r="L101"/>
  <c r="L100"/>
</calcChain>
</file>

<file path=xl/sharedStrings.xml><?xml version="1.0" encoding="utf-8"?>
<sst xmlns="http://schemas.openxmlformats.org/spreadsheetml/2006/main" count="209" uniqueCount="150">
  <si>
    <t>Income</t>
  </si>
  <si>
    <t>Description</t>
  </si>
  <si>
    <t>Budget</t>
  </si>
  <si>
    <t>Budget Holder</t>
  </si>
  <si>
    <t>2018</t>
  </si>
  <si>
    <t>Voluntary Giving</t>
  </si>
  <si>
    <t>All Giving/Donations</t>
  </si>
  <si>
    <t>Finance</t>
  </si>
  <si>
    <t>Gift Aid - Tax Reclaim</t>
  </si>
  <si>
    <t>Total Giving</t>
  </si>
  <si>
    <t>Other Income</t>
  </si>
  <si>
    <t>Hall Hire</t>
  </si>
  <si>
    <t>Support</t>
  </si>
  <si>
    <t>Fees (Weddings &amp; Funerals)</t>
  </si>
  <si>
    <t>Cottage Rent</t>
  </si>
  <si>
    <t>Stay &amp; Play</t>
  </si>
  <si>
    <t>K Walker</t>
  </si>
  <si>
    <t>Food For Thought</t>
  </si>
  <si>
    <t>Cap Expenses Rec'd Bradford</t>
  </si>
  <si>
    <t>Parish Council Grant</t>
  </si>
  <si>
    <t>Bank Interest Recd</t>
  </si>
  <si>
    <t>Total Other Income</t>
  </si>
  <si>
    <t>Total Income</t>
  </si>
  <si>
    <t>Premises</t>
  </si>
  <si>
    <t>Water Rates</t>
  </si>
  <si>
    <t>Churchyard</t>
  </si>
  <si>
    <t>Church Hall</t>
  </si>
  <si>
    <t>Church All Hallows</t>
  </si>
  <si>
    <t>Church Old Kea</t>
  </si>
  <si>
    <t>Cottage</t>
  </si>
  <si>
    <t>Car Park</t>
  </si>
  <si>
    <t>Cleaning Church Hall</t>
  </si>
  <si>
    <t>Truro Location Misc Costs</t>
  </si>
  <si>
    <t>Hire of Premises Truro</t>
  </si>
  <si>
    <t>Premises Insurance</t>
  </si>
  <si>
    <t>Electricity</t>
  </si>
  <si>
    <t>Oil</t>
  </si>
  <si>
    <t>Total Premises</t>
  </si>
  <si>
    <t>Church Services</t>
  </si>
  <si>
    <t>Hospitality</t>
  </si>
  <si>
    <t>MB</t>
  </si>
  <si>
    <t>Music</t>
  </si>
  <si>
    <t>JB</t>
  </si>
  <si>
    <t>Total Church Services</t>
  </si>
  <si>
    <t>Outreach &amp; Pastoral</t>
  </si>
  <si>
    <t>Pastoral Care</t>
  </si>
  <si>
    <t>RH</t>
  </si>
  <si>
    <t>KW</t>
  </si>
  <si>
    <t>Living with Loss</t>
  </si>
  <si>
    <t>JA</t>
  </si>
  <si>
    <t>Evangelism/Materials/Real Life</t>
  </si>
  <si>
    <t>Total Outreach &amp; Pastoral</t>
  </si>
  <si>
    <t>Youth &amp; Families</t>
  </si>
  <si>
    <t>Youth Activities</t>
  </si>
  <si>
    <t>Youth/Childrens Work</t>
  </si>
  <si>
    <t>Total Youth &amp; Families</t>
  </si>
  <si>
    <t>CAP</t>
  </si>
  <si>
    <t>Client Aid/Blessing - CAP</t>
  </si>
  <si>
    <t>NG</t>
  </si>
  <si>
    <t>CAP - Lanterns</t>
  </si>
  <si>
    <t>CAP Fee</t>
  </si>
  <si>
    <t>CAP Expenses (incl. H/Office)</t>
  </si>
  <si>
    <t>CAP Release Group</t>
  </si>
  <si>
    <t>Total CAP</t>
  </si>
  <si>
    <t>Support Costs</t>
  </si>
  <si>
    <t>Printing/Publicity</t>
  </si>
  <si>
    <t>Stationery/Office</t>
  </si>
  <si>
    <t>Books etc</t>
  </si>
  <si>
    <t>Telephone and Internet</t>
  </si>
  <si>
    <t>MB/Support</t>
  </si>
  <si>
    <t>Web Site &amp; Church App</t>
  </si>
  <si>
    <t>Computer and Software - Office IT</t>
  </si>
  <si>
    <t>BG</t>
  </si>
  <si>
    <t>Photocopier/Communications</t>
  </si>
  <si>
    <t>Mileage Claims</t>
  </si>
  <si>
    <t>Non Mileage Claim Travel</t>
  </si>
  <si>
    <t>Refreshments</t>
  </si>
  <si>
    <t>Bank Charges</t>
  </si>
  <si>
    <t>Staff Salaries incl NI &amp; Pension</t>
  </si>
  <si>
    <t>Staff Training</t>
  </si>
  <si>
    <t>Health &amp; Safety - Training &amp; Kit</t>
  </si>
  <si>
    <t>Accountancy Fees</t>
  </si>
  <si>
    <t>Total Support Costs</t>
  </si>
  <si>
    <t>MMF</t>
  </si>
  <si>
    <t>TDBF Fees</t>
  </si>
  <si>
    <t>Church Fees</t>
  </si>
  <si>
    <t>Mission Giving</t>
  </si>
  <si>
    <t>HR</t>
  </si>
  <si>
    <t>Foodbank</t>
  </si>
  <si>
    <t>Mission Discretionary Payments</t>
  </si>
  <si>
    <t>Mercy Rescue Trust</t>
  </si>
  <si>
    <t>Churches Together</t>
  </si>
  <si>
    <t>Total Expenditure</t>
  </si>
  <si>
    <t>Surplus/(deficit)</t>
  </si>
  <si>
    <t xml:space="preserve">Expenditure </t>
  </si>
  <si>
    <t>Diocesan &amp; Other Fees</t>
  </si>
  <si>
    <t>Total Diocesan &amp; Other Fees</t>
  </si>
  <si>
    <t>Total Mission Giving</t>
  </si>
  <si>
    <t>Approved</t>
  </si>
  <si>
    <t>Audio Visual</t>
  </si>
  <si>
    <t>Amount</t>
  </si>
  <si>
    <t>Revised</t>
  </si>
  <si>
    <t>JL</t>
  </si>
  <si>
    <t>Vired</t>
  </si>
  <si>
    <t>Old Kea Development</t>
  </si>
  <si>
    <t>DBS Checks</t>
  </si>
  <si>
    <t>Pocket Card</t>
  </si>
  <si>
    <t>Christian Associates(communitas)</t>
  </si>
  <si>
    <t>Small Group materials</t>
  </si>
  <si>
    <t>Laundry</t>
  </si>
  <si>
    <t>Anticipated</t>
  </si>
  <si>
    <t>Estimated</t>
  </si>
  <si>
    <t>AM</t>
  </si>
  <si>
    <t>St.Kea  2019 Budget Preparation</t>
  </si>
  <si>
    <t xml:space="preserve">Proposed </t>
  </si>
  <si>
    <t>Giving</t>
  </si>
  <si>
    <t>year</t>
  </si>
  <si>
    <t>PGS</t>
  </si>
  <si>
    <t>%</t>
  </si>
  <si>
    <t>Increase</t>
  </si>
  <si>
    <t>SO s</t>
  </si>
  <si>
    <t>Monthly</t>
  </si>
  <si>
    <t>Plate</t>
  </si>
  <si>
    <t>gift Aid</t>
  </si>
  <si>
    <t>Staff</t>
  </si>
  <si>
    <t>GA Adj.</t>
  </si>
  <si>
    <t>GA Adj</t>
  </si>
  <si>
    <t>GA Jan - Aug</t>
  </si>
  <si>
    <t>Total 2018</t>
  </si>
  <si>
    <t>Donations</t>
  </si>
  <si>
    <t>CAF</t>
  </si>
  <si>
    <t>Quarterly</t>
  </si>
  <si>
    <t>PAT Testing</t>
  </si>
  <si>
    <t>Paul travel</t>
  </si>
  <si>
    <t>Steve</t>
  </si>
  <si>
    <t>Will</t>
  </si>
  <si>
    <t>Food for thought</t>
  </si>
  <si>
    <t>Pledges towards Associate Minister costs</t>
  </si>
  <si>
    <t>Mitigation</t>
  </si>
  <si>
    <t>Likely net budget position 2019</t>
  </si>
  <si>
    <t>pw</t>
  </si>
  <si>
    <t>oct - dec</t>
  </si>
  <si>
    <t>Year end</t>
  </si>
  <si>
    <t>Position</t>
  </si>
  <si>
    <t>non pgs</t>
  </si>
  <si>
    <t>SG</t>
  </si>
  <si>
    <t>Rp</t>
  </si>
  <si>
    <t>PCC General Activities</t>
  </si>
  <si>
    <t>Reference</t>
  </si>
  <si>
    <t>Number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</si>
</sst>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1" fontId="0" fillId="0" borderId="0" xfId="0" applyNumberFormat="1"/>
    <xf numFmtId="0" fontId="1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/>
    <xf numFmtId="3" fontId="7" fillId="0" borderId="0" xfId="0" applyNumberFormat="1" applyFont="1"/>
    <xf numFmtId="3" fontId="7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7" fillId="0" borderId="0" xfId="0" applyNumberFormat="1" applyFont="1" applyBorder="1"/>
    <xf numFmtId="3" fontId="2" fillId="2" borderId="2" xfId="0" applyNumberFormat="1" applyFont="1" applyFill="1" applyBorder="1"/>
    <xf numFmtId="3" fontId="0" fillId="0" borderId="0" xfId="0" applyNumberFormat="1" applyBorder="1"/>
    <xf numFmtId="3" fontId="7" fillId="0" borderId="1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2" fillId="0" borderId="3" xfId="0" applyNumberFormat="1" applyFont="1" applyFill="1" applyBorder="1"/>
    <xf numFmtId="3" fontId="7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Fill="1"/>
    <xf numFmtId="0" fontId="0" fillId="0" borderId="0" xfId="0" applyFill="1"/>
    <xf numFmtId="3" fontId="7" fillId="0" borderId="0" xfId="0" applyNumberFormat="1" applyFont="1" applyFill="1"/>
    <xf numFmtId="3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 applyFill="1" applyAlignment="1">
      <alignment horizontal="center"/>
    </xf>
    <xf numFmtId="3" fontId="2" fillId="0" borderId="2" xfId="0" applyNumberFormat="1" applyFont="1" applyFill="1" applyBorder="1"/>
    <xf numFmtId="9" fontId="0" fillId="0" borderId="0" xfId="0" applyNumberFormat="1"/>
    <xf numFmtId="0" fontId="0" fillId="3" borderId="0" xfId="0" applyFill="1"/>
    <xf numFmtId="4" fontId="0" fillId="0" borderId="0" xfId="0" applyNumberFormat="1"/>
    <xf numFmtId="3" fontId="8" fillId="0" borderId="0" xfId="0" applyNumberFormat="1" applyFont="1"/>
  </cellXfs>
  <cellStyles count="34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taylor/Documents/Microsoft%20User%20Data/Office%202011%20AutoRecovery/2018approvedbudget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projection"/>
      <sheetName val="2018base"/>
      <sheetName val="Details"/>
      <sheetName val="Mission Giving"/>
      <sheetName val="capyouth"/>
    </sheetNames>
    <sheetDataSet>
      <sheetData sheetId="0"/>
      <sheetData sheetId="1"/>
      <sheetData sheetId="2">
        <row r="35">
          <cell r="C35">
            <v>500</v>
          </cell>
        </row>
        <row r="38">
          <cell r="C38">
            <v>100</v>
          </cell>
        </row>
        <row r="39">
          <cell r="C39">
            <v>400</v>
          </cell>
        </row>
        <row r="40">
          <cell r="C40">
            <v>200</v>
          </cell>
        </row>
        <row r="41">
          <cell r="C41">
            <v>1000</v>
          </cell>
        </row>
        <row r="42">
          <cell r="C42">
            <v>800</v>
          </cell>
        </row>
        <row r="44">
          <cell r="C44">
            <v>500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O132"/>
  <sheetViews>
    <sheetView tabSelected="1" topLeftCell="A69" workbookViewId="0">
      <pane xSplit="4" topLeftCell="E1" activePane="topRight" state="frozen"/>
      <selection activeCell="A2" sqref="A2"/>
      <selection pane="topRight" activeCell="S103" sqref="S103"/>
    </sheetView>
  </sheetViews>
  <sheetFormatPr defaultColWidth="11" defaultRowHeight="15.75"/>
  <cols>
    <col min="1" max="1" width="5.5" customWidth="1"/>
    <col min="2" max="2" width="2.875" customWidth="1"/>
    <col min="3" max="3" width="2.375" customWidth="1"/>
    <col min="4" max="4" width="31.5" customWidth="1"/>
    <col min="5" max="5" width="4.625" customWidth="1"/>
    <col min="6" max="6" width="13.375" customWidth="1"/>
    <col min="7" max="7" width="4.375" customWidth="1"/>
    <col min="9" max="9" width="4.375" customWidth="1"/>
    <col min="11" max="11" width="4.375" customWidth="1"/>
    <col min="13" max="13" width="4.375" customWidth="1"/>
    <col min="14" max="14" width="10.875" hidden="1" customWidth="1"/>
    <col min="15" max="15" width="11" customWidth="1"/>
    <col min="16" max="16" width="4.375" customWidth="1"/>
    <col min="17" max="17" width="10.875" customWidth="1"/>
    <col min="18" max="18" width="4.375" customWidth="1"/>
    <col min="19" max="19" width="12.625" customWidth="1"/>
    <col min="21" max="21" width="4.5" customWidth="1"/>
    <col min="23" max="23" width="4.5" customWidth="1"/>
    <col min="25" max="25" width="4.5" customWidth="1"/>
    <col min="27" max="27" width="4.5" customWidth="1"/>
    <col min="29" max="29" width="4.5" customWidth="1"/>
    <col min="31" max="31" width="4.5" customWidth="1"/>
    <col min="33" max="33" width="4.375" customWidth="1"/>
    <col min="35" max="35" width="4.5" customWidth="1"/>
    <col min="37" max="37" width="4.125" customWidth="1"/>
    <col min="39" max="39" width="4.5" customWidth="1"/>
    <col min="40" max="40" width="4" customWidth="1"/>
    <col min="41" max="41" width="32.875" customWidth="1"/>
  </cols>
  <sheetData>
    <row r="1" spans="2:41">
      <c r="B1" s="3" t="s">
        <v>113</v>
      </c>
      <c r="H1" s="3"/>
    </row>
    <row r="2" spans="2:41">
      <c r="B2" s="3" t="s">
        <v>0</v>
      </c>
      <c r="H2" s="1"/>
      <c r="AH2" s="32" t="s">
        <v>110</v>
      </c>
      <c r="AJ2" s="24" t="s">
        <v>111</v>
      </c>
      <c r="AL2" s="32" t="s">
        <v>114</v>
      </c>
      <c r="AO2" s="24"/>
    </row>
    <row r="3" spans="2:41">
      <c r="D3" s="3" t="s">
        <v>1</v>
      </c>
      <c r="E3" s="3"/>
      <c r="F3" s="3" t="s">
        <v>3</v>
      </c>
      <c r="G3" s="3"/>
      <c r="H3" s="8" t="s">
        <v>4</v>
      </c>
      <c r="J3" s="24" t="s">
        <v>103</v>
      </c>
      <c r="L3" s="9" t="s">
        <v>101</v>
      </c>
      <c r="O3" s="24" t="s">
        <v>142</v>
      </c>
      <c r="Q3" s="32" t="s">
        <v>2</v>
      </c>
      <c r="S3" s="24" t="s">
        <v>148</v>
      </c>
    </row>
    <row r="4" spans="2:41">
      <c r="D4" s="3"/>
      <c r="E4" s="3"/>
      <c r="F4" s="3"/>
      <c r="G4" s="3"/>
      <c r="H4" s="7" t="s">
        <v>98</v>
      </c>
      <c r="J4" s="9" t="s">
        <v>100</v>
      </c>
      <c r="L4" s="9" t="s">
        <v>2</v>
      </c>
      <c r="O4" s="24" t="s">
        <v>143</v>
      </c>
      <c r="Q4" s="32">
        <v>2019</v>
      </c>
      <c r="S4" s="24" t="s">
        <v>149</v>
      </c>
    </row>
    <row r="5" spans="2:41">
      <c r="D5" s="3" t="s">
        <v>147</v>
      </c>
      <c r="E5" s="3"/>
      <c r="F5" s="3"/>
      <c r="G5" s="3"/>
      <c r="H5" s="7"/>
      <c r="J5" s="24"/>
      <c r="L5" s="24"/>
      <c r="O5" s="24"/>
      <c r="Q5" s="32"/>
    </row>
    <row r="6" spans="2:41">
      <c r="D6" s="3"/>
      <c r="E6" s="3"/>
      <c r="F6" s="3"/>
      <c r="G6" s="3"/>
      <c r="H6" s="7"/>
      <c r="J6" s="24"/>
      <c r="L6" s="24"/>
      <c r="O6" s="24"/>
      <c r="Q6" s="32"/>
    </row>
    <row r="7" spans="2:41">
      <c r="D7" s="6" t="s">
        <v>5</v>
      </c>
      <c r="E7" s="4"/>
      <c r="F7" s="4"/>
      <c r="G7" s="4"/>
      <c r="H7" s="10"/>
      <c r="Q7" s="27"/>
    </row>
    <row r="8" spans="2:41">
      <c r="D8" s="4" t="s">
        <v>6</v>
      </c>
      <c r="E8" s="4"/>
      <c r="F8" s="4" t="s">
        <v>7</v>
      </c>
      <c r="G8" s="4"/>
      <c r="H8" s="16">
        <v>179896</v>
      </c>
      <c r="L8" s="11">
        <f>H8+J8</f>
        <v>179896</v>
      </c>
      <c r="N8" s="11"/>
      <c r="O8" s="11">
        <v>175785</v>
      </c>
      <c r="P8" s="11"/>
      <c r="Q8" s="28">
        <v>172774.32</v>
      </c>
      <c r="S8">
        <v>1</v>
      </c>
    </row>
    <row r="10" spans="2:41">
      <c r="D10" s="4" t="s">
        <v>8</v>
      </c>
      <c r="E10" s="4"/>
      <c r="F10" s="4"/>
      <c r="G10" s="4"/>
      <c r="H10" s="16">
        <v>13288</v>
      </c>
      <c r="L10" s="11">
        <f>H10+J10</f>
        <v>13288</v>
      </c>
      <c r="N10" s="11"/>
      <c r="O10" s="11">
        <v>10891.5</v>
      </c>
      <c r="P10" s="11"/>
      <c r="Q10" s="28">
        <v>10539.23352</v>
      </c>
      <c r="S10">
        <v>2</v>
      </c>
    </row>
    <row r="11" spans="2:41">
      <c r="D11" s="4"/>
      <c r="E11" s="4"/>
      <c r="F11" s="4"/>
      <c r="G11" s="4"/>
      <c r="H11" s="16"/>
      <c r="L11" s="11"/>
      <c r="N11" s="11"/>
      <c r="O11" s="11"/>
      <c r="P11" s="11"/>
      <c r="Q11" s="28"/>
    </row>
    <row r="12" spans="2:41">
      <c r="D12" s="4" t="s">
        <v>9</v>
      </c>
      <c r="E12" s="4"/>
      <c r="F12" s="4"/>
      <c r="G12" s="4"/>
      <c r="H12" s="12">
        <f>SUM(H8:H11)</f>
        <v>193184</v>
      </c>
      <c r="L12" s="12">
        <f>SUM(L8:L11)</f>
        <v>193184</v>
      </c>
      <c r="N12" s="11"/>
      <c r="O12" s="12">
        <v>186676.5</v>
      </c>
      <c r="P12" s="11"/>
      <c r="Q12" s="19">
        <v>183313.55352000002</v>
      </c>
      <c r="T12" s="36"/>
    </row>
    <row r="13" spans="2:41">
      <c r="D13" s="4"/>
      <c r="E13" s="4"/>
      <c r="F13" s="4"/>
      <c r="G13" s="4"/>
      <c r="H13" s="16"/>
      <c r="L13" s="11"/>
      <c r="N13" s="11"/>
      <c r="O13" s="11"/>
      <c r="P13" s="11"/>
      <c r="Q13" s="29"/>
    </row>
    <row r="14" spans="2:41">
      <c r="D14" s="6" t="s">
        <v>10</v>
      </c>
      <c r="E14" s="4"/>
      <c r="F14" s="4"/>
      <c r="G14" s="4"/>
      <c r="H14" s="16"/>
      <c r="L14" s="11"/>
      <c r="N14" s="11"/>
      <c r="O14" s="11"/>
      <c r="P14" s="11"/>
      <c r="Q14" s="29"/>
    </row>
    <row r="15" spans="2:41">
      <c r="D15" s="26" t="s">
        <v>11</v>
      </c>
      <c r="E15" s="26"/>
      <c r="F15" s="26" t="s">
        <v>12</v>
      </c>
      <c r="G15" s="26"/>
      <c r="H15" s="23">
        <v>1545</v>
      </c>
      <c r="I15" s="27"/>
      <c r="J15" s="27"/>
      <c r="K15" s="27"/>
      <c r="L15" s="28">
        <f t="shared" ref="L15:L23" si="0">H15+J15</f>
        <v>1545</v>
      </c>
      <c r="M15" s="27"/>
      <c r="N15" s="11"/>
      <c r="O15" s="11">
        <v>1466.6666666666667</v>
      </c>
      <c r="P15" s="11"/>
      <c r="Q15" s="28">
        <v>1650</v>
      </c>
      <c r="S15">
        <v>3</v>
      </c>
    </row>
    <row r="16" spans="2:41">
      <c r="D16" s="26" t="s">
        <v>13</v>
      </c>
      <c r="E16" s="26"/>
      <c r="F16" s="26" t="s">
        <v>12</v>
      </c>
      <c r="G16" s="26"/>
      <c r="H16" s="23">
        <v>5000</v>
      </c>
      <c r="I16" s="27"/>
      <c r="J16" s="27"/>
      <c r="K16" s="27"/>
      <c r="L16" s="28">
        <f t="shared" si="0"/>
        <v>5000</v>
      </c>
      <c r="M16" s="27"/>
      <c r="N16" s="11"/>
      <c r="O16" s="11">
        <v>7590</v>
      </c>
      <c r="P16" s="11"/>
      <c r="Q16" s="28">
        <v>5000</v>
      </c>
      <c r="S16">
        <v>4</v>
      </c>
    </row>
    <row r="17" spans="2:19">
      <c r="D17" s="26" t="s">
        <v>14</v>
      </c>
      <c r="E17" s="26"/>
      <c r="F17" s="26" t="s">
        <v>12</v>
      </c>
      <c r="G17" s="26"/>
      <c r="H17" s="23">
        <v>3909</v>
      </c>
      <c r="I17" s="27"/>
      <c r="J17" s="27"/>
      <c r="K17" s="27"/>
      <c r="L17" s="28">
        <f t="shared" si="0"/>
        <v>3909</v>
      </c>
      <c r="M17" s="27"/>
      <c r="N17" s="11"/>
      <c r="O17" s="11">
        <v>3900</v>
      </c>
      <c r="P17" s="11"/>
      <c r="Q17" s="28">
        <v>3900</v>
      </c>
      <c r="S17">
        <v>5</v>
      </c>
    </row>
    <row r="18" spans="2:19">
      <c r="D18" s="4" t="s">
        <v>15</v>
      </c>
      <c r="E18" s="4"/>
      <c r="F18" s="4" t="s">
        <v>16</v>
      </c>
      <c r="G18" s="4"/>
      <c r="H18" s="16">
        <v>150</v>
      </c>
      <c r="L18" s="11">
        <f t="shared" si="0"/>
        <v>150</v>
      </c>
      <c r="N18" s="11"/>
      <c r="O18" s="11">
        <v>184</v>
      </c>
      <c r="P18" s="11"/>
      <c r="Q18" s="28">
        <v>0</v>
      </c>
      <c r="S18">
        <v>6</v>
      </c>
    </row>
    <row r="19" spans="2:19">
      <c r="D19" s="4" t="s">
        <v>17</v>
      </c>
      <c r="E19" s="4"/>
      <c r="F19" s="4"/>
      <c r="G19" s="4"/>
      <c r="H19" s="16">
        <v>1000</v>
      </c>
      <c r="L19" s="11">
        <f t="shared" si="0"/>
        <v>1000</v>
      </c>
      <c r="N19" s="11"/>
      <c r="O19" s="11">
        <v>0</v>
      </c>
      <c r="P19" s="11"/>
      <c r="Q19" s="28">
        <v>500</v>
      </c>
      <c r="S19">
        <v>7</v>
      </c>
    </row>
    <row r="20" spans="2:19">
      <c r="D20" s="4" t="s">
        <v>18</v>
      </c>
      <c r="E20" s="4"/>
      <c r="F20" s="4" t="s">
        <v>7</v>
      </c>
      <c r="G20" s="4"/>
      <c r="H20" s="16">
        <v>200</v>
      </c>
      <c r="L20" s="11">
        <f t="shared" si="0"/>
        <v>200</v>
      </c>
      <c r="N20" s="11"/>
      <c r="O20" s="11">
        <v>252</v>
      </c>
      <c r="P20" s="11"/>
      <c r="Q20" s="28">
        <v>250</v>
      </c>
      <c r="S20">
        <v>8</v>
      </c>
    </row>
    <row r="21" spans="2:19">
      <c r="D21" s="4" t="s">
        <v>19</v>
      </c>
      <c r="E21" s="4"/>
      <c r="F21" s="4" t="s">
        <v>7</v>
      </c>
      <c r="G21" s="4"/>
      <c r="H21" s="16">
        <v>350</v>
      </c>
      <c r="L21" s="11">
        <f t="shared" si="0"/>
        <v>350</v>
      </c>
      <c r="N21" s="11"/>
      <c r="O21" s="11">
        <v>550</v>
      </c>
      <c r="P21" s="11"/>
      <c r="Q21" s="28">
        <v>350</v>
      </c>
      <c r="S21">
        <v>9</v>
      </c>
    </row>
    <row r="22" spans="2:19">
      <c r="D22" s="4" t="s">
        <v>20</v>
      </c>
      <c r="E22" s="4"/>
      <c r="F22" s="4" t="s">
        <v>7</v>
      </c>
      <c r="G22" s="4"/>
      <c r="H22" s="16">
        <v>500</v>
      </c>
      <c r="L22" s="11">
        <f t="shared" si="0"/>
        <v>500</v>
      </c>
      <c r="N22" s="11"/>
      <c r="O22" s="11">
        <v>480</v>
      </c>
      <c r="P22" s="11"/>
      <c r="Q22" s="28">
        <v>500</v>
      </c>
      <c r="S22">
        <v>10</v>
      </c>
    </row>
    <row r="23" spans="2:19">
      <c r="D23" s="4" t="s">
        <v>10</v>
      </c>
      <c r="E23" s="4"/>
      <c r="F23" s="4" t="s">
        <v>7</v>
      </c>
      <c r="G23" s="4"/>
      <c r="H23" s="16"/>
      <c r="L23" s="11">
        <f t="shared" si="0"/>
        <v>0</v>
      </c>
      <c r="N23" s="11"/>
      <c r="O23" s="11">
        <v>1449</v>
      </c>
      <c r="P23" s="11"/>
      <c r="Q23" s="28">
        <v>0</v>
      </c>
      <c r="S23">
        <v>11</v>
      </c>
    </row>
    <row r="24" spans="2:19">
      <c r="D24" s="4"/>
      <c r="E24" s="4"/>
      <c r="F24" s="4"/>
      <c r="G24" s="4"/>
      <c r="H24" s="16"/>
      <c r="L24" s="11"/>
      <c r="N24" s="11"/>
      <c r="O24" s="11"/>
      <c r="P24" s="11"/>
      <c r="Q24" s="28"/>
    </row>
    <row r="25" spans="2:19">
      <c r="D25" s="4" t="s">
        <v>21</v>
      </c>
      <c r="E25" s="4"/>
      <c r="F25" s="4"/>
      <c r="G25" s="4"/>
      <c r="H25" s="12">
        <f>SUM(H15:H24)</f>
        <v>12654</v>
      </c>
      <c r="L25" s="12">
        <f>SUM(L15:L24)</f>
        <v>12654</v>
      </c>
      <c r="N25" s="11"/>
      <c r="O25" s="12">
        <v>15871.666666666666</v>
      </c>
      <c r="P25" s="11"/>
      <c r="Q25" s="19">
        <v>12153</v>
      </c>
    </row>
    <row r="26" spans="2:19">
      <c r="D26" s="4"/>
      <c r="E26" s="4"/>
      <c r="F26" s="4"/>
      <c r="G26" s="4"/>
      <c r="H26" s="16"/>
      <c r="L26" s="4"/>
      <c r="N26" s="11"/>
      <c r="O26" s="11"/>
      <c r="P26" s="11"/>
      <c r="Q26" s="29"/>
    </row>
    <row r="27" spans="2:19">
      <c r="D27" s="4" t="s">
        <v>22</v>
      </c>
      <c r="E27" s="4"/>
      <c r="F27" s="4"/>
      <c r="G27" s="4"/>
      <c r="H27" s="17">
        <f>H12+H25</f>
        <v>205838</v>
      </c>
      <c r="L27" s="13">
        <f>L12+L25</f>
        <v>205838</v>
      </c>
      <c r="N27" s="11"/>
      <c r="O27" s="13">
        <v>202548.16666666666</v>
      </c>
      <c r="P27" s="11"/>
      <c r="Q27" s="33">
        <v>195466.55352000002</v>
      </c>
    </row>
    <row r="28" spans="2:19">
      <c r="H28" s="18"/>
      <c r="L28" s="11"/>
      <c r="N28" s="25"/>
      <c r="O28" s="25"/>
      <c r="P28" s="25"/>
      <c r="Q28" s="29"/>
    </row>
    <row r="29" spans="2:19">
      <c r="B29" s="3" t="s">
        <v>94</v>
      </c>
      <c r="H29" s="18"/>
      <c r="L29" s="11"/>
      <c r="N29" s="25"/>
      <c r="O29" s="25"/>
      <c r="P29" s="25"/>
      <c r="Q29" s="29"/>
    </row>
    <row r="30" spans="2:19">
      <c r="D30" s="3" t="s">
        <v>1</v>
      </c>
      <c r="H30" s="18"/>
      <c r="L30" s="11"/>
      <c r="N30" s="25"/>
      <c r="O30" s="25"/>
      <c r="P30" s="25"/>
      <c r="Q30" s="29"/>
    </row>
    <row r="31" spans="2:19">
      <c r="H31" s="18"/>
      <c r="L31" s="11"/>
      <c r="N31" s="25"/>
      <c r="O31" s="25"/>
      <c r="P31" s="25"/>
      <c r="Q31" s="29"/>
    </row>
    <row r="32" spans="2:19">
      <c r="D32" s="6" t="s">
        <v>23</v>
      </c>
      <c r="E32" s="4"/>
      <c r="F32" s="4"/>
      <c r="G32" s="4"/>
      <c r="H32" s="16"/>
      <c r="L32" s="11"/>
      <c r="N32" s="25"/>
      <c r="O32" s="25"/>
      <c r="P32" s="25"/>
      <c r="Q32" s="29"/>
    </row>
    <row r="33" spans="4:19">
      <c r="D33" s="4" t="s">
        <v>24</v>
      </c>
      <c r="E33" s="4"/>
      <c r="F33" s="4" t="s">
        <v>12</v>
      </c>
      <c r="G33" s="26"/>
      <c r="H33" s="16">
        <v>80</v>
      </c>
      <c r="L33" s="11">
        <f t="shared" ref="L33:L45" si="1">H33+J33</f>
        <v>80</v>
      </c>
      <c r="N33" s="11"/>
      <c r="O33" s="11">
        <v>75</v>
      </c>
      <c r="P33" s="11"/>
      <c r="Q33" s="28">
        <v>80</v>
      </c>
      <c r="S33">
        <v>12</v>
      </c>
    </row>
    <row r="34" spans="4:19">
      <c r="D34" s="4" t="s">
        <v>25</v>
      </c>
      <c r="E34" s="4"/>
      <c r="F34" s="4" t="s">
        <v>102</v>
      </c>
      <c r="G34" s="26"/>
      <c r="H34" s="16">
        <v>500</v>
      </c>
      <c r="L34" s="11">
        <f t="shared" si="1"/>
        <v>500</v>
      </c>
      <c r="N34" s="11"/>
      <c r="O34" s="11">
        <v>0</v>
      </c>
      <c r="P34" s="11"/>
      <c r="Q34" s="37">
        <v>500</v>
      </c>
      <c r="S34">
        <v>13</v>
      </c>
    </row>
    <row r="35" spans="4:19">
      <c r="D35" s="4" t="s">
        <v>26</v>
      </c>
      <c r="E35" s="4"/>
      <c r="F35" s="4" t="s">
        <v>102</v>
      </c>
      <c r="G35" s="26"/>
      <c r="H35" s="16">
        <v>4000</v>
      </c>
      <c r="L35" s="11">
        <f t="shared" si="1"/>
        <v>4000</v>
      </c>
      <c r="N35" s="11"/>
      <c r="O35" s="11">
        <v>2038</v>
      </c>
      <c r="P35" s="11"/>
      <c r="Q35" s="37">
        <v>3000</v>
      </c>
      <c r="S35">
        <v>14</v>
      </c>
    </row>
    <row r="36" spans="4:19">
      <c r="D36" s="4" t="s">
        <v>27</v>
      </c>
      <c r="E36" s="4"/>
      <c r="F36" s="4" t="s">
        <v>102</v>
      </c>
      <c r="G36" s="26"/>
      <c r="H36" s="16">
        <f>[1]Details!C35+[1]Details!C39+[1]Details!C40+[1]Details!C41+[1]Details!C44</f>
        <v>2600</v>
      </c>
      <c r="L36" s="11">
        <f t="shared" si="1"/>
        <v>2600</v>
      </c>
      <c r="N36" s="11"/>
      <c r="O36" s="11">
        <v>2074</v>
      </c>
      <c r="P36" s="11"/>
      <c r="Q36" s="37">
        <v>3000</v>
      </c>
      <c r="S36">
        <v>15</v>
      </c>
    </row>
    <row r="37" spans="4:19">
      <c r="D37" s="4" t="s">
        <v>28</v>
      </c>
      <c r="E37" s="4"/>
      <c r="F37" s="4" t="s">
        <v>102</v>
      </c>
      <c r="G37" s="26"/>
      <c r="H37" s="16">
        <f>[1]Details!C38+[1]Details!C42</f>
        <v>900</v>
      </c>
      <c r="L37" s="11">
        <f t="shared" si="1"/>
        <v>900</v>
      </c>
      <c r="N37" s="11"/>
      <c r="O37" s="11">
        <v>1799</v>
      </c>
      <c r="P37" s="11"/>
      <c r="Q37" s="37">
        <v>1500</v>
      </c>
      <c r="S37">
        <v>16</v>
      </c>
    </row>
    <row r="38" spans="4:19">
      <c r="D38" s="4" t="s">
        <v>29</v>
      </c>
      <c r="E38" s="4"/>
      <c r="F38" s="4" t="s">
        <v>102</v>
      </c>
      <c r="G38" s="26"/>
      <c r="H38" s="16">
        <v>2435</v>
      </c>
      <c r="L38" s="11">
        <f t="shared" si="1"/>
        <v>2435</v>
      </c>
      <c r="N38" s="11"/>
      <c r="O38" s="28">
        <v>1500</v>
      </c>
      <c r="P38" s="11"/>
      <c r="Q38" s="37">
        <v>3000</v>
      </c>
      <c r="S38">
        <v>17</v>
      </c>
    </row>
    <row r="39" spans="4:19">
      <c r="D39" s="4" t="s">
        <v>30</v>
      </c>
      <c r="E39" s="4"/>
      <c r="F39" s="4" t="s">
        <v>102</v>
      </c>
      <c r="G39" s="26"/>
      <c r="H39" s="16">
        <v>1339</v>
      </c>
      <c r="L39" s="11">
        <f t="shared" si="1"/>
        <v>1339</v>
      </c>
      <c r="N39" s="11"/>
      <c r="O39" s="11">
        <v>520</v>
      </c>
      <c r="P39" s="11"/>
      <c r="Q39" s="37">
        <v>1300</v>
      </c>
      <c r="S39">
        <v>18</v>
      </c>
    </row>
    <row r="40" spans="4:19">
      <c r="D40" s="4" t="s">
        <v>31</v>
      </c>
      <c r="E40" s="4"/>
      <c r="F40" s="4" t="s">
        <v>12</v>
      </c>
      <c r="G40" s="26"/>
      <c r="H40" s="16">
        <v>1339</v>
      </c>
      <c r="L40" s="11">
        <f t="shared" si="1"/>
        <v>1339</v>
      </c>
      <c r="N40" s="11"/>
      <c r="O40" s="11">
        <v>1309.3333333333333</v>
      </c>
      <c r="P40" s="11"/>
      <c r="Q40" s="28">
        <v>1339</v>
      </c>
      <c r="S40">
        <v>19</v>
      </c>
    </row>
    <row r="41" spans="4:19">
      <c r="D41" s="4" t="s">
        <v>32</v>
      </c>
      <c r="E41" s="4"/>
      <c r="F41" s="4" t="s">
        <v>40</v>
      </c>
      <c r="G41" s="26"/>
      <c r="H41" s="16">
        <v>1000</v>
      </c>
      <c r="L41" s="11">
        <f t="shared" si="1"/>
        <v>1000</v>
      </c>
      <c r="N41" s="11"/>
      <c r="O41" s="11">
        <v>9</v>
      </c>
      <c r="P41" s="11"/>
      <c r="Q41" s="28">
        <v>250</v>
      </c>
      <c r="S41">
        <v>20</v>
      </c>
    </row>
    <row r="42" spans="4:19">
      <c r="D42" s="4" t="s">
        <v>33</v>
      </c>
      <c r="E42" s="4"/>
      <c r="F42" s="4" t="s">
        <v>12</v>
      </c>
      <c r="G42" s="26"/>
      <c r="H42" s="16">
        <v>4326</v>
      </c>
      <c r="L42" s="11">
        <f t="shared" si="1"/>
        <v>4326</v>
      </c>
      <c r="N42" s="11"/>
      <c r="O42" s="11">
        <v>4300</v>
      </c>
      <c r="P42" s="11"/>
      <c r="Q42" s="28">
        <v>4326</v>
      </c>
      <c r="S42">
        <v>21</v>
      </c>
    </row>
    <row r="43" spans="4:19">
      <c r="D43" s="4" t="s">
        <v>34</v>
      </c>
      <c r="E43" s="4"/>
      <c r="F43" s="4" t="s">
        <v>12</v>
      </c>
      <c r="G43" s="26"/>
      <c r="H43" s="16">
        <v>3605</v>
      </c>
      <c r="L43" s="11">
        <f t="shared" si="1"/>
        <v>3605</v>
      </c>
      <c r="N43" s="11"/>
      <c r="O43" s="11">
        <v>3500</v>
      </c>
      <c r="P43" s="11"/>
      <c r="Q43" s="28">
        <v>3698</v>
      </c>
      <c r="S43">
        <v>22</v>
      </c>
    </row>
    <row r="44" spans="4:19">
      <c r="D44" s="4" t="s">
        <v>35</v>
      </c>
      <c r="E44" s="4"/>
      <c r="F44" s="4" t="s">
        <v>12</v>
      </c>
      <c r="G44" s="26"/>
      <c r="H44" s="16">
        <v>3150</v>
      </c>
      <c r="L44" s="11">
        <f t="shared" si="1"/>
        <v>3150</v>
      </c>
      <c r="N44" s="11"/>
      <c r="O44" s="11">
        <v>2226</v>
      </c>
      <c r="P44" s="11"/>
      <c r="Q44" s="28">
        <v>3150</v>
      </c>
      <c r="S44">
        <v>23</v>
      </c>
    </row>
    <row r="45" spans="4:19">
      <c r="D45" s="4" t="s">
        <v>36</v>
      </c>
      <c r="E45" s="4"/>
      <c r="F45" s="4" t="s">
        <v>12</v>
      </c>
      <c r="G45" s="26"/>
      <c r="H45" s="16">
        <v>4635</v>
      </c>
      <c r="L45" s="11">
        <f t="shared" si="1"/>
        <v>4635</v>
      </c>
      <c r="N45" s="11"/>
      <c r="O45" s="11">
        <v>3080</v>
      </c>
      <c r="P45" s="11"/>
      <c r="Q45" s="28">
        <v>4000</v>
      </c>
      <c r="S45">
        <v>24</v>
      </c>
    </row>
    <row r="46" spans="4:19">
      <c r="D46" s="4" t="s">
        <v>37</v>
      </c>
      <c r="E46" s="4"/>
      <c r="F46" s="4"/>
      <c r="G46" s="4"/>
      <c r="H46" s="12">
        <f>SUM(H33:H45)</f>
        <v>29909</v>
      </c>
      <c r="L46" s="12">
        <f>SUM(L33:L45)</f>
        <v>29909</v>
      </c>
      <c r="N46" s="11"/>
      <c r="O46" s="12">
        <v>22430.333333333336</v>
      </c>
      <c r="P46" s="11"/>
      <c r="Q46" s="19">
        <v>29143</v>
      </c>
    </row>
    <row r="47" spans="4:19">
      <c r="D47" s="4"/>
      <c r="E47" s="4"/>
      <c r="F47" s="4"/>
      <c r="G47" s="4"/>
      <c r="H47" s="16"/>
      <c r="L47" s="11"/>
      <c r="N47" s="11"/>
      <c r="O47" s="11"/>
      <c r="P47" s="11"/>
      <c r="Q47" s="28"/>
    </row>
    <row r="48" spans="4:19">
      <c r="D48" s="6" t="s">
        <v>38</v>
      </c>
      <c r="E48" s="4"/>
      <c r="F48" s="4"/>
      <c r="G48" s="4"/>
      <c r="H48" s="16"/>
      <c r="L48" s="11"/>
      <c r="N48" s="11"/>
      <c r="O48" s="11"/>
      <c r="P48" s="11"/>
      <c r="Q48" s="28"/>
    </row>
    <row r="49" spans="4:19">
      <c r="D49" s="4" t="s">
        <v>39</v>
      </c>
      <c r="E49" s="4"/>
      <c r="F49" s="4" t="s">
        <v>40</v>
      </c>
      <c r="G49" s="26"/>
      <c r="H49" s="16">
        <v>500</v>
      </c>
      <c r="L49" s="11">
        <f>H49+J49</f>
        <v>500</v>
      </c>
      <c r="N49" s="11"/>
      <c r="O49" s="11">
        <v>588</v>
      </c>
      <c r="P49" s="11"/>
      <c r="Q49" s="28">
        <v>750</v>
      </c>
      <c r="S49">
        <v>25</v>
      </c>
    </row>
    <row r="50" spans="4:19">
      <c r="D50" s="4" t="s">
        <v>38</v>
      </c>
      <c r="E50" s="4"/>
      <c r="F50" s="4" t="s">
        <v>49</v>
      </c>
      <c r="G50" s="26"/>
      <c r="H50" s="16">
        <v>600</v>
      </c>
      <c r="L50" s="11">
        <f>H50+J50</f>
        <v>600</v>
      </c>
      <c r="N50" s="11"/>
      <c r="O50" s="11">
        <v>561.33333333333337</v>
      </c>
      <c r="P50" s="11"/>
      <c r="Q50" s="28">
        <v>350</v>
      </c>
      <c r="S50">
        <v>26</v>
      </c>
    </row>
    <row r="51" spans="4:19">
      <c r="D51" s="4" t="s">
        <v>41</v>
      </c>
      <c r="E51" s="4"/>
      <c r="F51" s="4" t="s">
        <v>42</v>
      </c>
      <c r="G51" s="26"/>
      <c r="H51" s="16">
        <v>500</v>
      </c>
      <c r="L51" s="11">
        <f>H51+J51</f>
        <v>500</v>
      </c>
      <c r="N51" s="11"/>
      <c r="O51" s="11">
        <v>478.66666666666669</v>
      </c>
      <c r="P51" s="11"/>
      <c r="Q51" s="28">
        <v>500</v>
      </c>
      <c r="S51">
        <v>27</v>
      </c>
    </row>
    <row r="52" spans="4:19">
      <c r="D52" s="4" t="s">
        <v>99</v>
      </c>
      <c r="E52" s="4"/>
      <c r="F52" s="4" t="s">
        <v>72</v>
      </c>
      <c r="G52" s="26"/>
      <c r="H52" s="16">
        <v>1100</v>
      </c>
      <c r="J52">
        <v>500</v>
      </c>
      <c r="L52" s="11">
        <f>H52+J52</f>
        <v>1600</v>
      </c>
      <c r="N52" s="11"/>
      <c r="O52" s="11">
        <v>1468</v>
      </c>
      <c r="P52" s="11"/>
      <c r="Q52" s="28">
        <v>1100</v>
      </c>
      <c r="S52">
        <v>28</v>
      </c>
    </row>
    <row r="53" spans="4:19">
      <c r="D53" s="4" t="s">
        <v>43</v>
      </c>
      <c r="E53" s="4"/>
      <c r="F53" s="4"/>
      <c r="G53" s="4"/>
      <c r="H53" s="12">
        <f>SUM(H49:H52)</f>
        <v>2700</v>
      </c>
      <c r="L53" s="12">
        <f>SUM(L49:L52)</f>
        <v>3200</v>
      </c>
      <c r="N53" s="11"/>
      <c r="O53" s="12">
        <v>3096</v>
      </c>
      <c r="P53" s="11"/>
      <c r="Q53" s="19">
        <v>2700</v>
      </c>
    </row>
    <row r="54" spans="4:19">
      <c r="D54" s="4"/>
      <c r="E54" s="4"/>
      <c r="F54" s="4"/>
      <c r="G54" s="4"/>
      <c r="H54" s="16"/>
      <c r="L54" s="11"/>
      <c r="N54" s="11"/>
      <c r="O54" s="11"/>
      <c r="P54" s="11"/>
      <c r="Q54" s="28"/>
    </row>
    <row r="55" spans="4:19">
      <c r="D55" s="6" t="s">
        <v>44</v>
      </c>
      <c r="E55" s="4"/>
      <c r="F55" s="4"/>
      <c r="G55" s="4"/>
      <c r="H55" s="16"/>
      <c r="L55" s="11"/>
      <c r="N55" s="11"/>
      <c r="O55" s="11"/>
      <c r="P55" s="11"/>
      <c r="Q55" s="28"/>
    </row>
    <row r="56" spans="4:19">
      <c r="D56" s="4" t="s">
        <v>45</v>
      </c>
      <c r="E56" s="4"/>
      <c r="F56" s="4" t="s">
        <v>46</v>
      </c>
      <c r="G56" s="26"/>
      <c r="H56" s="16">
        <v>150</v>
      </c>
      <c r="L56" s="11">
        <f>H56+J56</f>
        <v>150</v>
      </c>
      <c r="N56" s="11"/>
      <c r="O56" s="11">
        <v>156</v>
      </c>
      <c r="P56" s="11"/>
      <c r="Q56" s="28">
        <v>150</v>
      </c>
      <c r="S56">
        <v>29</v>
      </c>
    </row>
    <row r="57" spans="4:19">
      <c r="D57" s="4" t="s">
        <v>15</v>
      </c>
      <c r="E57" s="4"/>
      <c r="F57" s="4" t="s">
        <v>47</v>
      </c>
      <c r="G57" s="4"/>
      <c r="H57" s="16">
        <v>0</v>
      </c>
      <c r="L57" s="11">
        <f>H57+J57</f>
        <v>0</v>
      </c>
      <c r="N57" s="11"/>
      <c r="O57" s="11">
        <v>896</v>
      </c>
      <c r="P57" s="11"/>
      <c r="Q57" s="28">
        <v>0</v>
      </c>
      <c r="S57">
        <v>30</v>
      </c>
    </row>
    <row r="58" spans="4:19">
      <c r="D58" s="4" t="s">
        <v>48</v>
      </c>
      <c r="E58" s="4"/>
      <c r="F58" s="4" t="s">
        <v>49</v>
      </c>
      <c r="G58" s="4"/>
      <c r="H58" s="16">
        <v>100</v>
      </c>
      <c r="L58" s="11">
        <f>H58+J58</f>
        <v>100</v>
      </c>
      <c r="N58" s="11"/>
      <c r="O58" s="11">
        <v>100</v>
      </c>
      <c r="P58" s="11"/>
      <c r="Q58" s="28">
        <v>100</v>
      </c>
      <c r="S58">
        <v>31</v>
      </c>
    </row>
    <row r="59" spans="4:19">
      <c r="D59" s="4" t="s">
        <v>50</v>
      </c>
      <c r="E59" s="4"/>
      <c r="F59" s="4" t="s">
        <v>40</v>
      </c>
      <c r="G59" s="26"/>
      <c r="H59" s="16">
        <v>1000</v>
      </c>
      <c r="L59" s="11">
        <f>H59+J59</f>
        <v>1000</v>
      </c>
      <c r="N59" s="11"/>
      <c r="O59" s="11">
        <v>0</v>
      </c>
      <c r="P59" s="11"/>
      <c r="Q59" s="28">
        <v>500</v>
      </c>
      <c r="S59">
        <v>32</v>
      </c>
    </row>
    <row r="60" spans="4:19">
      <c r="D60" s="4" t="s">
        <v>108</v>
      </c>
      <c r="E60" s="4"/>
      <c r="F60" s="4" t="s">
        <v>40</v>
      </c>
      <c r="G60" s="26"/>
      <c r="H60" s="16">
        <v>0</v>
      </c>
      <c r="L60" s="11">
        <f>H60+J60</f>
        <v>0</v>
      </c>
      <c r="N60" s="11"/>
      <c r="O60" s="11">
        <v>75</v>
      </c>
      <c r="P60" s="11"/>
      <c r="Q60" s="28">
        <v>100</v>
      </c>
      <c r="S60">
        <v>33</v>
      </c>
    </row>
    <row r="61" spans="4:19">
      <c r="D61" s="4" t="s">
        <v>136</v>
      </c>
      <c r="N61" s="11"/>
      <c r="O61" s="11">
        <v>238</v>
      </c>
      <c r="P61" s="11"/>
      <c r="Q61" s="28">
        <v>110</v>
      </c>
      <c r="S61">
        <v>34</v>
      </c>
    </row>
    <row r="62" spans="4:19">
      <c r="D62" s="4" t="s">
        <v>51</v>
      </c>
      <c r="E62" s="4"/>
      <c r="F62" s="4"/>
      <c r="G62" s="4"/>
      <c r="H62" s="12">
        <f>SUM(H56:H60)</f>
        <v>1250</v>
      </c>
      <c r="L62" s="12">
        <f>SUM(L56:L60)</f>
        <v>1250</v>
      </c>
      <c r="N62" s="11"/>
      <c r="O62" s="12">
        <v>1465</v>
      </c>
      <c r="P62" s="11"/>
      <c r="Q62" s="19">
        <v>960</v>
      </c>
    </row>
    <row r="63" spans="4:19">
      <c r="D63" s="4"/>
      <c r="E63" s="4"/>
      <c r="F63" s="4"/>
      <c r="G63" s="4"/>
      <c r="H63" s="16"/>
      <c r="L63" s="11"/>
      <c r="N63" s="11"/>
      <c r="O63" s="11"/>
      <c r="P63" s="11"/>
      <c r="Q63" s="28"/>
    </row>
    <row r="64" spans="4:19">
      <c r="D64" s="6" t="s">
        <v>52</v>
      </c>
      <c r="E64" s="4"/>
      <c r="F64" s="4"/>
      <c r="G64" s="4"/>
      <c r="H64" s="16"/>
      <c r="L64" s="11"/>
      <c r="N64" s="11"/>
      <c r="O64" s="11"/>
      <c r="P64" s="11"/>
      <c r="Q64" s="28"/>
    </row>
    <row r="65" spans="4:19">
      <c r="D65" s="4" t="s">
        <v>53</v>
      </c>
      <c r="E65" s="4"/>
      <c r="F65" s="4" t="s">
        <v>112</v>
      </c>
      <c r="G65" s="4"/>
      <c r="H65" s="16">
        <v>1700</v>
      </c>
      <c r="L65" s="11">
        <f>H65+J65</f>
        <v>1700</v>
      </c>
      <c r="N65" s="11"/>
      <c r="O65" s="11">
        <v>76</v>
      </c>
      <c r="P65" s="11"/>
      <c r="Q65" s="28">
        <v>1700</v>
      </c>
      <c r="S65">
        <v>35</v>
      </c>
    </row>
    <row r="66" spans="4:19">
      <c r="D66" s="4" t="s">
        <v>54</v>
      </c>
      <c r="E66" s="4"/>
      <c r="F66" s="4" t="s">
        <v>112</v>
      </c>
      <c r="G66" s="4"/>
      <c r="H66" s="16">
        <v>1600</v>
      </c>
      <c r="L66" s="11">
        <f>H66+J66</f>
        <v>1600</v>
      </c>
      <c r="N66" s="11"/>
      <c r="O66" s="11">
        <v>922.66666666666663</v>
      </c>
      <c r="P66" s="11"/>
      <c r="Q66" s="28">
        <v>1600</v>
      </c>
      <c r="S66">
        <v>36</v>
      </c>
    </row>
    <row r="67" spans="4:19">
      <c r="D67" s="4" t="s">
        <v>55</v>
      </c>
      <c r="E67" s="4"/>
      <c r="F67" s="4"/>
      <c r="G67" s="4"/>
      <c r="H67" s="19">
        <f>SUM(H65:H66)</f>
        <v>3300</v>
      </c>
      <c r="L67" s="12">
        <f>SUM(L65:L66)</f>
        <v>3300</v>
      </c>
      <c r="N67" s="11"/>
      <c r="O67" s="12">
        <v>998.66666666666663</v>
      </c>
      <c r="P67" s="11"/>
      <c r="Q67" s="19">
        <v>3300</v>
      </c>
    </row>
    <row r="68" spans="4:19">
      <c r="D68" s="4"/>
      <c r="E68" s="4"/>
      <c r="F68" s="4"/>
      <c r="G68" s="4"/>
      <c r="H68" s="16"/>
      <c r="L68" s="11"/>
      <c r="N68" s="11"/>
      <c r="O68" s="11"/>
      <c r="P68" s="11"/>
      <c r="Q68" s="28"/>
    </row>
    <row r="69" spans="4:19">
      <c r="D69" s="6" t="s">
        <v>56</v>
      </c>
      <c r="E69" s="4"/>
      <c r="F69" s="4"/>
      <c r="G69" s="4"/>
      <c r="H69" s="16"/>
      <c r="L69" s="11"/>
      <c r="N69" s="11"/>
      <c r="O69" s="11"/>
      <c r="P69" s="11"/>
      <c r="Q69" s="28"/>
    </row>
    <row r="70" spans="4:19">
      <c r="D70" s="4" t="s">
        <v>57</v>
      </c>
      <c r="E70" s="4"/>
      <c r="F70" s="4" t="s">
        <v>58</v>
      </c>
      <c r="G70" s="26"/>
      <c r="H70" s="16">
        <v>200</v>
      </c>
      <c r="L70" s="11">
        <f>H70+J70</f>
        <v>200</v>
      </c>
      <c r="N70" s="11"/>
      <c r="O70" s="11">
        <v>150</v>
      </c>
      <c r="P70" s="11"/>
      <c r="Q70" s="28">
        <v>100</v>
      </c>
      <c r="S70">
        <v>37</v>
      </c>
    </row>
    <row r="71" spans="4:19">
      <c r="D71" s="4" t="s">
        <v>59</v>
      </c>
      <c r="E71" s="4"/>
      <c r="F71" s="4" t="s">
        <v>58</v>
      </c>
      <c r="G71" s="26"/>
      <c r="H71" s="16">
        <v>750</v>
      </c>
      <c r="L71" s="11">
        <f>H71+J71</f>
        <v>750</v>
      </c>
      <c r="N71" s="11"/>
      <c r="O71" s="11">
        <v>725.33333333333337</v>
      </c>
      <c r="P71" s="11"/>
      <c r="Q71" s="28">
        <v>800</v>
      </c>
      <c r="S71">
        <v>38</v>
      </c>
    </row>
    <row r="72" spans="4:19">
      <c r="D72" s="4" t="s">
        <v>60</v>
      </c>
      <c r="E72" s="4"/>
      <c r="F72" s="4" t="s">
        <v>58</v>
      </c>
      <c r="G72" s="26"/>
      <c r="H72" s="16">
        <v>8116</v>
      </c>
      <c r="L72" s="11">
        <f>H72+J72</f>
        <v>8116</v>
      </c>
      <c r="N72" s="11"/>
      <c r="O72" s="11">
        <v>8340</v>
      </c>
      <c r="P72" s="11"/>
      <c r="Q72" s="28">
        <v>8590.2000000000007</v>
      </c>
      <c r="S72">
        <v>39</v>
      </c>
    </row>
    <row r="73" spans="4:19">
      <c r="D73" s="4" t="s">
        <v>61</v>
      </c>
      <c r="E73" s="4"/>
      <c r="F73" s="4" t="s">
        <v>58</v>
      </c>
      <c r="G73" s="26"/>
      <c r="H73" s="16">
        <v>2000</v>
      </c>
      <c r="L73" s="11">
        <f>H73+J73</f>
        <v>2000</v>
      </c>
      <c r="N73" s="11"/>
      <c r="O73" s="11">
        <v>820</v>
      </c>
      <c r="P73" s="11"/>
      <c r="Q73" s="28">
        <v>1000</v>
      </c>
      <c r="S73">
        <v>40</v>
      </c>
    </row>
    <row r="74" spans="4:19">
      <c r="D74" s="4" t="s">
        <v>62</v>
      </c>
      <c r="E74" s="4"/>
      <c r="F74" s="4" t="s">
        <v>58</v>
      </c>
      <c r="G74" s="26"/>
      <c r="H74" s="16">
        <v>500</v>
      </c>
      <c r="L74" s="11">
        <f>H74+J74</f>
        <v>500</v>
      </c>
      <c r="N74" s="11"/>
      <c r="O74" s="11">
        <v>240</v>
      </c>
      <c r="P74" s="11"/>
      <c r="Q74" s="28">
        <v>0</v>
      </c>
      <c r="S74">
        <v>41</v>
      </c>
    </row>
    <row r="75" spans="4:19">
      <c r="D75" s="4" t="s">
        <v>63</v>
      </c>
      <c r="E75" s="4"/>
      <c r="F75" s="4"/>
      <c r="G75" s="4"/>
      <c r="H75" s="12">
        <f>SUM(H70:H74)</f>
        <v>11566</v>
      </c>
      <c r="L75" s="12">
        <f>SUM(L70:L74)</f>
        <v>11566</v>
      </c>
      <c r="N75" s="11"/>
      <c r="O75" s="12">
        <v>10275.333333333334</v>
      </c>
      <c r="P75" s="11"/>
      <c r="Q75" s="19">
        <v>10490.2</v>
      </c>
    </row>
    <row r="76" spans="4:19">
      <c r="D76" s="4"/>
      <c r="E76" s="4"/>
      <c r="F76" s="4"/>
      <c r="G76" s="4"/>
      <c r="H76" s="16"/>
      <c r="L76" s="11"/>
      <c r="N76" s="11"/>
      <c r="O76" s="11"/>
      <c r="P76" s="11"/>
      <c r="Q76" s="28"/>
    </row>
    <row r="77" spans="4:19">
      <c r="D77" s="6" t="s">
        <v>64</v>
      </c>
      <c r="E77" s="4"/>
      <c r="F77" s="4"/>
      <c r="G77" s="4"/>
      <c r="H77" s="16"/>
      <c r="L77" s="11"/>
      <c r="N77" s="11"/>
      <c r="O77" s="11"/>
      <c r="P77" s="11"/>
      <c r="Q77" s="28"/>
    </row>
    <row r="78" spans="4:19">
      <c r="D78" s="26" t="s">
        <v>65</v>
      </c>
      <c r="E78" s="26"/>
      <c r="F78" s="26" t="s">
        <v>12</v>
      </c>
      <c r="G78" s="26"/>
      <c r="H78" s="23">
        <v>824</v>
      </c>
      <c r="I78" s="27"/>
      <c r="J78" s="27"/>
      <c r="K78" s="27"/>
      <c r="L78" s="28">
        <f t="shared" ref="L78:L96" si="2">H78+J78</f>
        <v>824</v>
      </c>
      <c r="M78" s="27"/>
      <c r="N78" s="11"/>
      <c r="O78" s="11">
        <v>219</v>
      </c>
      <c r="P78" s="11"/>
      <c r="Q78" s="28">
        <v>500</v>
      </c>
      <c r="S78">
        <v>42</v>
      </c>
    </row>
    <row r="79" spans="4:19">
      <c r="D79" s="26" t="s">
        <v>66</v>
      </c>
      <c r="E79" s="26"/>
      <c r="F79" s="26" t="s">
        <v>12</v>
      </c>
      <c r="G79" s="26"/>
      <c r="H79" s="23">
        <v>1236</v>
      </c>
      <c r="I79" s="27"/>
      <c r="J79" s="27"/>
      <c r="K79" s="27"/>
      <c r="L79" s="28">
        <f t="shared" si="2"/>
        <v>1236</v>
      </c>
      <c r="M79" s="27"/>
      <c r="N79" s="11"/>
      <c r="O79" s="11">
        <v>880</v>
      </c>
      <c r="P79" s="11"/>
      <c r="Q79" s="28">
        <v>1036</v>
      </c>
      <c r="S79">
        <v>43</v>
      </c>
    </row>
    <row r="80" spans="4:19">
      <c r="D80" s="26" t="s">
        <v>67</v>
      </c>
      <c r="E80" s="26"/>
      <c r="F80" s="26" t="s">
        <v>40</v>
      </c>
      <c r="G80" s="26"/>
      <c r="H80" s="23">
        <v>515</v>
      </c>
      <c r="I80" s="27"/>
      <c r="J80" s="27"/>
      <c r="K80" s="27"/>
      <c r="L80" s="28">
        <f t="shared" si="2"/>
        <v>515</v>
      </c>
      <c r="M80" s="27"/>
      <c r="N80" s="11"/>
      <c r="O80" s="11">
        <v>105.33333333333333</v>
      </c>
      <c r="P80" s="11"/>
      <c r="Q80" s="28">
        <v>200</v>
      </c>
      <c r="S80">
        <v>44</v>
      </c>
    </row>
    <row r="81" spans="4:19">
      <c r="D81" s="26" t="s">
        <v>68</v>
      </c>
      <c r="E81" s="26"/>
      <c r="F81" s="26" t="s">
        <v>69</v>
      </c>
      <c r="G81" s="26"/>
      <c r="H81" s="23">
        <v>2575</v>
      </c>
      <c r="I81" s="27"/>
      <c r="J81" s="27"/>
      <c r="K81" s="27"/>
      <c r="L81" s="28">
        <f t="shared" si="2"/>
        <v>2575</v>
      </c>
      <c r="M81" s="27"/>
      <c r="N81" s="11"/>
      <c r="O81" s="11">
        <v>2116</v>
      </c>
      <c r="P81" s="11"/>
      <c r="Q81" s="28">
        <v>2575</v>
      </c>
      <c r="S81">
        <v>45</v>
      </c>
    </row>
    <row r="82" spans="4:19">
      <c r="D82" s="26" t="s">
        <v>70</v>
      </c>
      <c r="E82" s="26"/>
      <c r="F82" s="26" t="s">
        <v>12</v>
      </c>
      <c r="G82" s="26"/>
      <c r="H82" s="23">
        <v>721</v>
      </c>
      <c r="I82" s="27"/>
      <c r="J82" s="27"/>
      <c r="K82" s="27"/>
      <c r="L82" s="28">
        <f t="shared" si="2"/>
        <v>721</v>
      </c>
      <c r="M82" s="27"/>
      <c r="N82" s="11"/>
      <c r="O82" s="11">
        <v>845</v>
      </c>
      <c r="P82" s="11"/>
      <c r="Q82" s="28">
        <v>870</v>
      </c>
      <c r="S82">
        <v>46</v>
      </c>
    </row>
    <row r="83" spans="4:19">
      <c r="D83" s="26" t="s">
        <v>71</v>
      </c>
      <c r="E83" s="26"/>
      <c r="F83" s="26" t="s">
        <v>72</v>
      </c>
      <c r="G83" s="26"/>
      <c r="H83" s="23">
        <v>515</v>
      </c>
      <c r="I83" s="27"/>
      <c r="J83" s="27"/>
      <c r="K83" s="27"/>
      <c r="L83" s="28">
        <f t="shared" si="2"/>
        <v>515</v>
      </c>
      <c r="M83" s="27"/>
      <c r="N83" s="11"/>
      <c r="O83" s="11">
        <v>878.66666666666663</v>
      </c>
      <c r="P83" s="11"/>
      <c r="Q83" s="28">
        <v>1560</v>
      </c>
      <c r="S83">
        <v>47</v>
      </c>
    </row>
    <row r="84" spans="4:19">
      <c r="D84" s="26" t="s">
        <v>73</v>
      </c>
      <c r="E84" s="26"/>
      <c r="F84" s="26" t="s">
        <v>12</v>
      </c>
      <c r="G84" s="26"/>
      <c r="H84" s="23">
        <v>2924</v>
      </c>
      <c r="I84" s="27"/>
      <c r="J84" s="27"/>
      <c r="K84" s="27"/>
      <c r="L84" s="28">
        <f t="shared" si="2"/>
        <v>2924</v>
      </c>
      <c r="M84" s="27"/>
      <c r="N84" s="11"/>
      <c r="O84" s="11">
        <v>1717</v>
      </c>
      <c r="P84" s="11"/>
      <c r="Q84" s="28">
        <v>2600</v>
      </c>
      <c r="S84">
        <v>48</v>
      </c>
    </row>
    <row r="85" spans="4:19">
      <c r="D85" s="26" t="s">
        <v>74</v>
      </c>
      <c r="E85" s="26"/>
      <c r="F85" s="26" t="s">
        <v>40</v>
      </c>
      <c r="G85" s="26"/>
      <c r="H85" s="23">
        <v>2400</v>
      </c>
      <c r="I85" s="27"/>
      <c r="J85" s="27"/>
      <c r="K85" s="27"/>
      <c r="L85" s="28">
        <f t="shared" si="2"/>
        <v>2400</v>
      </c>
      <c r="M85" s="27"/>
      <c r="N85" s="11"/>
      <c r="O85" s="11">
        <v>1920</v>
      </c>
      <c r="P85" s="11"/>
      <c r="Q85" s="28">
        <v>5663.2</v>
      </c>
      <c r="S85">
        <v>49</v>
      </c>
    </row>
    <row r="86" spans="4:19">
      <c r="D86" s="26" t="s">
        <v>75</v>
      </c>
      <c r="E86" s="26"/>
      <c r="F86" s="26" t="s">
        <v>40</v>
      </c>
      <c r="G86" s="26"/>
      <c r="H86" s="23">
        <v>500</v>
      </c>
      <c r="I86" s="27"/>
      <c r="J86" s="27"/>
      <c r="K86" s="27"/>
      <c r="L86" s="28">
        <f t="shared" si="2"/>
        <v>500</v>
      </c>
      <c r="M86" s="27"/>
      <c r="N86" s="11"/>
      <c r="O86" s="11">
        <v>34</v>
      </c>
      <c r="P86" s="11"/>
      <c r="Q86" s="28">
        <v>500</v>
      </c>
      <c r="S86">
        <v>50</v>
      </c>
    </row>
    <row r="87" spans="4:19">
      <c r="D87" s="26" t="s">
        <v>76</v>
      </c>
      <c r="E87" s="26"/>
      <c r="F87" s="26" t="s">
        <v>12</v>
      </c>
      <c r="G87" s="26"/>
      <c r="H87" s="23">
        <v>300</v>
      </c>
      <c r="I87" s="27"/>
      <c r="J87" s="27"/>
      <c r="K87" s="27"/>
      <c r="L87" s="28">
        <f t="shared" si="2"/>
        <v>300</v>
      </c>
      <c r="M87" s="27"/>
      <c r="N87" s="11"/>
      <c r="O87" s="11">
        <v>131</v>
      </c>
      <c r="P87" s="11"/>
      <c r="Q87" s="28">
        <v>150</v>
      </c>
      <c r="S87">
        <v>51</v>
      </c>
    </row>
    <row r="88" spans="4:19">
      <c r="D88" s="26" t="s">
        <v>77</v>
      </c>
      <c r="E88" s="26"/>
      <c r="F88" s="26" t="s">
        <v>7</v>
      </c>
      <c r="G88" s="26"/>
      <c r="H88" s="23">
        <v>700</v>
      </c>
      <c r="I88" s="27"/>
      <c r="J88" s="27"/>
      <c r="K88" s="27"/>
      <c r="L88" s="28">
        <f t="shared" si="2"/>
        <v>700</v>
      </c>
      <c r="M88" s="27"/>
      <c r="N88" s="11"/>
      <c r="O88" s="11">
        <v>485.33333333333331</v>
      </c>
      <c r="P88" s="11"/>
      <c r="Q88" s="28">
        <v>500</v>
      </c>
      <c r="S88">
        <v>52</v>
      </c>
    </row>
    <row r="89" spans="4:19">
      <c r="D89" s="26" t="s">
        <v>78</v>
      </c>
      <c r="E89" s="26"/>
      <c r="F89" s="26" t="s">
        <v>12</v>
      </c>
      <c r="G89" s="26"/>
      <c r="H89" s="23">
        <v>60459</v>
      </c>
      <c r="I89" s="27"/>
      <c r="J89" s="27">
        <v>-500</v>
      </c>
      <c r="K89" s="27"/>
      <c r="L89" s="28">
        <f t="shared" si="2"/>
        <v>59959</v>
      </c>
      <c r="M89" s="27"/>
      <c r="N89" s="11"/>
      <c r="O89" s="11">
        <v>43323</v>
      </c>
      <c r="P89" s="11"/>
      <c r="Q89" s="28">
        <v>66924</v>
      </c>
      <c r="S89">
        <v>53</v>
      </c>
    </row>
    <row r="90" spans="4:19">
      <c r="D90" s="26" t="s">
        <v>79</v>
      </c>
      <c r="E90" s="26"/>
      <c r="F90" s="26" t="s">
        <v>69</v>
      </c>
      <c r="G90" s="26"/>
      <c r="H90" s="23">
        <v>1000</v>
      </c>
      <c r="I90" s="27"/>
      <c r="J90" s="27"/>
      <c r="K90" s="27"/>
      <c r="L90" s="28">
        <f t="shared" si="2"/>
        <v>1000</v>
      </c>
      <c r="M90" s="27"/>
      <c r="N90" s="11"/>
      <c r="O90" s="11">
        <v>115</v>
      </c>
      <c r="P90" s="11"/>
      <c r="Q90" s="28">
        <v>1500</v>
      </c>
      <c r="S90">
        <v>54</v>
      </c>
    </row>
    <row r="91" spans="4:19">
      <c r="D91" s="26" t="s">
        <v>80</v>
      </c>
      <c r="E91" s="26"/>
      <c r="F91" s="26" t="s">
        <v>12</v>
      </c>
      <c r="G91" s="26"/>
      <c r="H91" s="23">
        <v>850</v>
      </c>
      <c r="I91" s="27"/>
      <c r="J91" s="27"/>
      <c r="K91" s="27"/>
      <c r="L91" s="28">
        <f t="shared" si="2"/>
        <v>850</v>
      </c>
      <c r="M91" s="27"/>
      <c r="N91" s="11"/>
      <c r="O91" s="11">
        <v>109</v>
      </c>
      <c r="P91" s="11"/>
      <c r="Q91" s="28">
        <v>250</v>
      </c>
      <c r="S91">
        <v>55</v>
      </c>
    </row>
    <row r="92" spans="4:19">
      <c r="D92" s="26" t="s">
        <v>132</v>
      </c>
      <c r="E92" s="26"/>
      <c r="F92" s="26" t="s">
        <v>12</v>
      </c>
      <c r="G92" s="26"/>
      <c r="H92" s="23"/>
      <c r="I92" s="27"/>
      <c r="J92" s="27"/>
      <c r="K92" s="27"/>
      <c r="L92" s="28"/>
      <c r="M92" s="27"/>
      <c r="N92" s="11"/>
      <c r="O92" s="11"/>
      <c r="P92" s="11"/>
      <c r="Q92" s="28">
        <v>600</v>
      </c>
      <c r="S92">
        <v>56</v>
      </c>
    </row>
    <row r="93" spans="4:19">
      <c r="D93" s="26" t="s">
        <v>105</v>
      </c>
      <c r="E93" s="26"/>
      <c r="F93" s="26" t="s">
        <v>12</v>
      </c>
      <c r="G93" s="26"/>
      <c r="H93" s="23"/>
      <c r="I93" s="27"/>
      <c r="J93" s="27"/>
      <c r="K93" s="27"/>
      <c r="L93" s="28"/>
      <c r="M93" s="27"/>
      <c r="N93" s="11"/>
      <c r="O93" s="11">
        <v>74</v>
      </c>
      <c r="P93" s="11"/>
      <c r="Q93" s="28">
        <v>44</v>
      </c>
      <c r="S93">
        <v>57</v>
      </c>
    </row>
    <row r="94" spans="4:19">
      <c r="D94" s="4" t="s">
        <v>106</v>
      </c>
      <c r="E94" s="4"/>
      <c r="F94" s="4"/>
      <c r="G94" s="26"/>
      <c r="H94" s="16"/>
      <c r="L94" s="11"/>
      <c r="N94" s="11"/>
      <c r="O94" s="11">
        <v>694</v>
      </c>
      <c r="P94" s="11"/>
      <c r="Q94" s="28">
        <v>250</v>
      </c>
      <c r="S94">
        <v>58</v>
      </c>
    </row>
    <row r="95" spans="4:19">
      <c r="D95" s="4" t="s">
        <v>109</v>
      </c>
      <c r="E95" s="4"/>
      <c r="F95" s="4" t="s">
        <v>40</v>
      </c>
      <c r="G95" s="26"/>
      <c r="H95" s="16"/>
      <c r="L95" s="11"/>
      <c r="N95" s="11"/>
      <c r="O95" s="11">
        <v>24</v>
      </c>
      <c r="P95" s="11"/>
      <c r="Q95" s="28">
        <v>0</v>
      </c>
      <c r="S95">
        <v>59</v>
      </c>
    </row>
    <row r="96" spans="4:19">
      <c r="D96" s="4" t="s">
        <v>81</v>
      </c>
      <c r="E96" s="4"/>
      <c r="F96" s="4" t="s">
        <v>7</v>
      </c>
      <c r="G96" s="4"/>
      <c r="H96" s="16">
        <v>700</v>
      </c>
      <c r="L96" s="11">
        <f t="shared" si="2"/>
        <v>700</v>
      </c>
      <c r="N96" s="11"/>
      <c r="O96" s="11">
        <v>1175</v>
      </c>
      <c r="P96" s="11"/>
      <c r="Q96" s="28">
        <v>1200</v>
      </c>
      <c r="S96">
        <v>60</v>
      </c>
    </row>
    <row r="97" spans="4:19">
      <c r="D97" s="4" t="s">
        <v>82</v>
      </c>
      <c r="E97" s="4"/>
      <c r="F97" s="4"/>
      <c r="G97" s="4"/>
      <c r="H97" s="19">
        <f>SUM(H78:H96)</f>
        <v>76219</v>
      </c>
      <c r="L97" s="12">
        <f>SUM(L78:L96)</f>
        <v>75719</v>
      </c>
      <c r="N97" s="11"/>
      <c r="O97" s="12">
        <v>55735.333333333328</v>
      </c>
      <c r="P97" s="11"/>
      <c r="Q97" s="19">
        <v>86922.2</v>
      </c>
    </row>
    <row r="98" spans="4:19">
      <c r="D98" s="4"/>
      <c r="E98" s="4"/>
      <c r="F98" s="4"/>
      <c r="G98" s="4"/>
      <c r="H98" s="16"/>
      <c r="L98" s="11"/>
      <c r="N98" s="11"/>
      <c r="O98" s="11"/>
      <c r="P98" s="11"/>
      <c r="Q98" s="28"/>
    </row>
    <row r="99" spans="4:19">
      <c r="D99" s="6" t="s">
        <v>95</v>
      </c>
      <c r="E99" s="4"/>
      <c r="F99" s="4"/>
      <c r="G99" s="4"/>
      <c r="H99" s="16"/>
      <c r="L99" s="11"/>
      <c r="N99" s="11"/>
      <c r="O99" s="11"/>
      <c r="P99" s="11"/>
      <c r="Q99" s="28"/>
    </row>
    <row r="100" spans="4:19">
      <c r="D100" s="4" t="s">
        <v>83</v>
      </c>
      <c r="E100" s="4"/>
      <c r="F100" s="4" t="s">
        <v>40</v>
      </c>
      <c r="G100" s="4"/>
      <c r="H100" s="23">
        <v>78865</v>
      </c>
      <c r="L100" s="11">
        <f>H100+J100</f>
        <v>78865</v>
      </c>
      <c r="N100" s="11"/>
      <c r="O100" s="11">
        <v>78456</v>
      </c>
      <c r="P100" s="11"/>
      <c r="Q100" s="28">
        <v>81230.95</v>
      </c>
      <c r="S100">
        <v>61</v>
      </c>
    </row>
    <row r="101" spans="4:19">
      <c r="D101" s="4" t="s">
        <v>84</v>
      </c>
      <c r="E101" s="4"/>
      <c r="F101" s="4" t="s">
        <v>40</v>
      </c>
      <c r="G101" s="4"/>
      <c r="H101" s="16">
        <v>1700</v>
      </c>
      <c r="L101" s="11">
        <f>H101+J101</f>
        <v>1700</v>
      </c>
      <c r="N101" s="11"/>
      <c r="O101" s="11">
        <v>1513</v>
      </c>
      <c r="P101" s="11"/>
      <c r="Q101" s="28">
        <v>400</v>
      </c>
      <c r="S101">
        <v>62</v>
      </c>
    </row>
    <row r="102" spans="4:19">
      <c r="D102" s="4" t="s">
        <v>85</v>
      </c>
      <c r="E102" s="4"/>
      <c r="F102" s="4" t="s">
        <v>12</v>
      </c>
      <c r="G102" s="4"/>
      <c r="H102" s="16">
        <v>1500</v>
      </c>
      <c r="L102" s="11">
        <f>H102+J102</f>
        <v>1500</v>
      </c>
      <c r="N102" s="11"/>
      <c r="O102" s="11">
        <v>910</v>
      </c>
      <c r="P102" s="11"/>
      <c r="Q102" s="28">
        <v>900</v>
      </c>
      <c r="S102">
        <v>63</v>
      </c>
    </row>
    <row r="103" spans="4:19">
      <c r="D103" s="4" t="s">
        <v>96</v>
      </c>
      <c r="E103" s="4"/>
      <c r="F103" s="4"/>
      <c r="G103" s="4"/>
      <c r="H103" s="19">
        <f>SUM(H100:H102)</f>
        <v>82065</v>
      </c>
      <c r="L103" s="12">
        <f>H103+J103</f>
        <v>82065</v>
      </c>
      <c r="N103" s="11"/>
      <c r="O103" s="12">
        <v>80879</v>
      </c>
      <c r="P103" s="11"/>
      <c r="Q103" s="19">
        <v>82530.95</v>
      </c>
    </row>
    <row r="104" spans="4:19">
      <c r="D104" s="4"/>
      <c r="E104" s="4"/>
      <c r="F104" s="4"/>
      <c r="G104" s="4"/>
      <c r="H104" s="16"/>
      <c r="L104" s="11"/>
      <c r="N104" s="11"/>
      <c r="O104" s="11"/>
      <c r="P104" s="11"/>
      <c r="Q104" s="28"/>
    </row>
    <row r="105" spans="4:19">
      <c r="D105" s="6" t="s">
        <v>86</v>
      </c>
      <c r="E105" s="4"/>
      <c r="F105" s="4"/>
      <c r="G105" s="4"/>
      <c r="H105" s="16"/>
      <c r="L105" s="11"/>
      <c r="N105" s="11"/>
      <c r="O105" s="11"/>
      <c r="P105" s="11"/>
      <c r="Q105" s="28"/>
    </row>
    <row r="106" spans="4:19">
      <c r="D106" s="4" t="s">
        <v>107</v>
      </c>
      <c r="E106" s="4"/>
      <c r="F106" s="4" t="s">
        <v>87</v>
      </c>
      <c r="G106" s="4"/>
      <c r="H106" s="16"/>
      <c r="L106" s="11"/>
      <c r="N106" s="11"/>
      <c r="O106" s="11"/>
      <c r="P106" s="11"/>
      <c r="Q106" s="28"/>
    </row>
    <row r="107" spans="4:19">
      <c r="D107" s="4" t="s">
        <v>88</v>
      </c>
      <c r="E107" s="4"/>
      <c r="F107" s="4" t="s">
        <v>87</v>
      </c>
      <c r="G107" s="4"/>
      <c r="H107" s="16"/>
      <c r="L107" s="11"/>
      <c r="N107" s="11"/>
      <c r="O107" s="11"/>
      <c r="P107" s="11"/>
      <c r="Q107" s="28"/>
    </row>
    <row r="108" spans="4:19">
      <c r="D108" s="4" t="s">
        <v>89</v>
      </c>
      <c r="E108" s="4"/>
      <c r="F108" s="4" t="s">
        <v>87</v>
      </c>
      <c r="G108" s="4"/>
      <c r="H108" s="16"/>
      <c r="L108" s="11"/>
      <c r="N108" s="11"/>
      <c r="O108" s="11"/>
      <c r="P108" s="11"/>
      <c r="Q108" s="28"/>
    </row>
    <row r="109" spans="4:19">
      <c r="D109" s="4" t="s">
        <v>90</v>
      </c>
      <c r="E109" s="4"/>
      <c r="F109" s="4" t="s">
        <v>87</v>
      </c>
      <c r="G109" s="4"/>
      <c r="H109" s="16"/>
      <c r="L109" s="11"/>
      <c r="N109" s="11"/>
      <c r="O109" s="11"/>
      <c r="P109" s="11"/>
      <c r="Q109" s="28"/>
    </row>
    <row r="110" spans="4:19">
      <c r="D110" s="4" t="s">
        <v>91</v>
      </c>
      <c r="E110" s="4"/>
      <c r="F110" s="4" t="s">
        <v>87</v>
      </c>
      <c r="G110" s="4"/>
      <c r="H110" s="16"/>
      <c r="L110" s="11"/>
      <c r="N110" s="11"/>
      <c r="O110" s="11"/>
      <c r="P110" s="11"/>
      <c r="Q110" s="28"/>
    </row>
    <row r="111" spans="4:19">
      <c r="D111" s="4" t="s">
        <v>97</v>
      </c>
      <c r="E111" s="4"/>
      <c r="F111" s="4"/>
      <c r="G111" s="4"/>
      <c r="H111" s="19">
        <v>15455</v>
      </c>
      <c r="L111" s="12">
        <f>H111+J111</f>
        <v>15455</v>
      </c>
      <c r="N111" s="11"/>
      <c r="O111" s="12">
        <v>14017</v>
      </c>
      <c r="P111" s="11"/>
      <c r="Q111" s="19">
        <v>16498.2198168</v>
      </c>
      <c r="S111">
        <v>64</v>
      </c>
    </row>
    <row r="112" spans="4:19">
      <c r="D112" s="4"/>
      <c r="E112" s="4"/>
      <c r="F112" s="4"/>
      <c r="G112" s="4"/>
      <c r="H112" s="16"/>
      <c r="L112" s="11"/>
      <c r="N112" s="11"/>
      <c r="O112" s="11"/>
      <c r="P112" s="11"/>
      <c r="Q112" s="28"/>
    </row>
    <row r="113" spans="4:38">
      <c r="D113" s="5" t="s">
        <v>22</v>
      </c>
      <c r="E113" s="5"/>
      <c r="F113" s="5"/>
      <c r="G113" s="5"/>
      <c r="H113" s="20">
        <f>H27</f>
        <v>205838</v>
      </c>
      <c r="I113" s="2"/>
      <c r="L113" s="14">
        <f>H113+J113</f>
        <v>205838</v>
      </c>
      <c r="N113" s="11"/>
      <c r="O113" s="14">
        <v>202548.16666666666</v>
      </c>
      <c r="P113" s="11"/>
      <c r="Q113" s="14">
        <v>195466.55352000002</v>
      </c>
    </row>
    <row r="114" spans="4:38">
      <c r="D114" s="5"/>
      <c r="E114" s="5"/>
      <c r="F114" s="5"/>
      <c r="G114" s="5"/>
      <c r="H114" s="21"/>
      <c r="L114" s="11"/>
      <c r="N114" s="11"/>
      <c r="O114" s="14"/>
      <c r="P114" s="11"/>
      <c r="Q114" s="28"/>
    </row>
    <row r="115" spans="4:38">
      <c r="D115" s="5" t="s">
        <v>92</v>
      </c>
      <c r="E115" s="5"/>
      <c r="F115" s="5"/>
      <c r="G115" s="5"/>
      <c r="H115" s="20">
        <f>H46+H53+H62+H67+H75+H97+H103+H111</f>
        <v>222464</v>
      </c>
      <c r="I115" s="2"/>
      <c r="L115" s="14">
        <f>H115+J115</f>
        <v>222464</v>
      </c>
      <c r="N115" s="11"/>
      <c r="O115" s="14">
        <v>188896.66666666666</v>
      </c>
      <c r="P115" s="11"/>
      <c r="Q115" s="14">
        <v>232544.56981679998</v>
      </c>
    </row>
    <row r="116" spans="4:38">
      <c r="D116" s="5"/>
      <c r="E116" s="5"/>
      <c r="F116" s="5"/>
      <c r="G116" s="5"/>
      <c r="H116" s="21"/>
      <c r="L116" s="11"/>
      <c r="N116" s="11"/>
      <c r="O116" s="11"/>
      <c r="P116" s="11"/>
      <c r="Q116" s="28"/>
    </row>
    <row r="117" spans="4:38" ht="16.5" thickBot="1">
      <c r="D117" s="5" t="s">
        <v>93</v>
      </c>
      <c r="E117" s="5"/>
      <c r="F117" s="5"/>
      <c r="G117" s="5"/>
      <c r="H117" s="22">
        <f>H113-H115</f>
        <v>-16626</v>
      </c>
      <c r="I117" s="2"/>
      <c r="L117" s="15">
        <f>H117+J117</f>
        <v>-16626</v>
      </c>
      <c r="N117" s="14"/>
      <c r="O117" s="15">
        <v>11884.5</v>
      </c>
      <c r="P117" s="11"/>
      <c r="Q117" s="15">
        <v>-37078.016296799964</v>
      </c>
    </row>
    <row r="118" spans="4:38" ht="16.5" thickTop="1">
      <c r="H118" s="1"/>
      <c r="R118" s="4"/>
    </row>
    <row r="119" spans="4:38">
      <c r="H119" s="1"/>
      <c r="R119" s="4"/>
    </row>
    <row r="120" spans="4:38">
      <c r="K120" s="3" t="s">
        <v>138</v>
      </c>
      <c r="M120" s="4"/>
      <c r="N120" s="4"/>
      <c r="O120" s="4"/>
      <c r="P120" s="4"/>
      <c r="Q120" s="4"/>
      <c r="R120" s="4"/>
      <c r="AH120" s="4"/>
      <c r="AI120" s="4"/>
      <c r="AJ120" s="4"/>
      <c r="AK120" s="4"/>
      <c r="AL120" s="4"/>
    </row>
    <row r="121" spans="4:38">
      <c r="M121" s="4"/>
      <c r="N121" s="4"/>
      <c r="O121" s="4"/>
      <c r="P121" s="4"/>
      <c r="Q121" s="4"/>
      <c r="AH121" s="4"/>
      <c r="AI121" s="4"/>
      <c r="AJ121" s="4"/>
      <c r="AK121" s="4"/>
      <c r="AL121" s="4"/>
    </row>
    <row r="122" spans="4:38">
      <c r="K122" t="s">
        <v>137</v>
      </c>
      <c r="M122" s="4"/>
      <c r="N122" s="4"/>
      <c r="O122" s="4"/>
      <c r="P122" s="4"/>
      <c r="Q122" s="14">
        <v>9975</v>
      </c>
      <c r="AH122" s="4"/>
      <c r="AI122" s="4"/>
      <c r="AJ122" s="4"/>
      <c r="AK122" s="4"/>
      <c r="AL122" s="4"/>
    </row>
    <row r="123" spans="4:38">
      <c r="M123" s="4"/>
      <c r="N123" s="4"/>
      <c r="O123" s="4"/>
      <c r="P123" s="4"/>
      <c r="Q123" s="4"/>
      <c r="AC123" s="3"/>
      <c r="AD123" s="3"/>
    </row>
    <row r="124" spans="4:38">
      <c r="M124" s="4"/>
      <c r="N124" s="4"/>
      <c r="O124" s="4"/>
      <c r="P124" s="4"/>
      <c r="Q124" s="4"/>
    </row>
    <row r="125" spans="4:38">
      <c r="K125" t="s">
        <v>139</v>
      </c>
      <c r="M125" s="4"/>
      <c r="N125" s="4"/>
      <c r="O125" s="4"/>
      <c r="P125" s="4"/>
      <c r="Q125" s="14">
        <f>Q117+Q122</f>
        <v>-27103.016296799964</v>
      </c>
    </row>
    <row r="129" spans="4:38">
      <c r="AH129" s="4"/>
      <c r="AI129" s="4"/>
      <c r="AJ129" s="4"/>
      <c r="AK129" s="4"/>
      <c r="AL129" s="4"/>
    </row>
    <row r="130" spans="4:38">
      <c r="D130" s="5" t="s">
        <v>104</v>
      </c>
      <c r="E130" s="4"/>
      <c r="F130" s="4"/>
      <c r="G130" s="4"/>
      <c r="H130" s="16"/>
      <c r="L130" s="11"/>
      <c r="N130" s="11">
        <v>1650</v>
      </c>
      <c r="O130" s="14">
        <v>6370</v>
      </c>
      <c r="R130" s="11"/>
      <c r="AH130" s="4"/>
      <c r="AI130" s="4"/>
      <c r="AJ130" s="4"/>
      <c r="AK130" s="4"/>
      <c r="AL130" s="4"/>
    </row>
    <row r="131" spans="4:38">
      <c r="AH131" s="4"/>
      <c r="AI131" s="4"/>
      <c r="AJ131" s="4"/>
      <c r="AK131" s="4"/>
      <c r="AL131" s="4"/>
    </row>
    <row r="132" spans="4:38"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F132" s="11"/>
      <c r="AG132" s="11"/>
      <c r="AH132" s="28"/>
      <c r="AI132" s="11"/>
      <c r="AJ132" s="11"/>
      <c r="AK132" s="11"/>
      <c r="AL132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G26" sqref="G26"/>
    </sheetView>
  </sheetViews>
  <sheetFormatPr defaultColWidth="11" defaultRowHeight="15.75"/>
  <sheetData>
    <row r="1" spans="1:13">
      <c r="A1" t="s">
        <v>115</v>
      </c>
    </row>
    <row r="2" spans="1:13">
      <c r="E2" s="30">
        <v>2018</v>
      </c>
      <c r="F2" s="30" t="s">
        <v>118</v>
      </c>
      <c r="G2" s="30">
        <v>2019</v>
      </c>
    </row>
    <row r="3" spans="1:13">
      <c r="E3" s="30" t="s">
        <v>141</v>
      </c>
      <c r="F3" s="30" t="s">
        <v>119</v>
      </c>
      <c r="G3" s="30" t="s">
        <v>116</v>
      </c>
      <c r="H3" s="30" t="s">
        <v>121</v>
      </c>
      <c r="I3" s="30" t="s">
        <v>131</v>
      </c>
      <c r="J3" s="30" t="s">
        <v>140</v>
      </c>
      <c r="K3" s="34">
        <v>0.02</v>
      </c>
    </row>
    <row r="5" spans="1:13">
      <c r="A5" t="s">
        <v>117</v>
      </c>
      <c r="B5">
        <v>10167</v>
      </c>
      <c r="C5">
        <v>3</v>
      </c>
      <c r="E5">
        <f>B5*C5</f>
        <v>30501</v>
      </c>
      <c r="F5">
        <v>0.02</v>
      </c>
      <c r="G5" s="2">
        <f>B5*1.02*12</f>
        <v>124444.08</v>
      </c>
      <c r="H5" s="2">
        <f>G5/12</f>
        <v>10370.34</v>
      </c>
      <c r="J5" s="35">
        <v>10243</v>
      </c>
      <c r="K5" s="35">
        <f>J5*1.02</f>
        <v>10447.86</v>
      </c>
      <c r="L5">
        <f>24928+4165</f>
        <v>29093</v>
      </c>
    </row>
    <row r="6" spans="1:13">
      <c r="A6" t="s">
        <v>120</v>
      </c>
      <c r="B6">
        <v>2400</v>
      </c>
      <c r="C6">
        <v>3</v>
      </c>
      <c r="E6">
        <f>B6*C6</f>
        <v>7200</v>
      </c>
      <c r="G6">
        <f>B6*12</f>
        <v>28800</v>
      </c>
      <c r="H6">
        <f>G6/12</f>
        <v>2400</v>
      </c>
      <c r="K6" s="35">
        <v>2500</v>
      </c>
      <c r="L6">
        <v>12</v>
      </c>
    </row>
    <row r="7" spans="1:13">
      <c r="A7" t="s">
        <v>130</v>
      </c>
      <c r="B7">
        <v>400</v>
      </c>
      <c r="C7">
        <v>3</v>
      </c>
      <c r="E7">
        <f>B7*C7</f>
        <v>1200</v>
      </c>
      <c r="G7">
        <f>B7*4</f>
        <v>1600</v>
      </c>
      <c r="I7">
        <f>E7</f>
        <v>1200</v>
      </c>
      <c r="K7" s="35">
        <v>400</v>
      </c>
    </row>
    <row r="8" spans="1:13">
      <c r="A8" t="s">
        <v>122</v>
      </c>
      <c r="B8">
        <v>650</v>
      </c>
      <c r="C8">
        <v>3</v>
      </c>
      <c r="E8">
        <f>B8*C8</f>
        <v>1950</v>
      </c>
      <c r="G8">
        <f>B8*12</f>
        <v>7800</v>
      </c>
      <c r="H8">
        <f>G8/12</f>
        <v>650</v>
      </c>
      <c r="K8" s="35">
        <v>650</v>
      </c>
      <c r="L8">
        <f>L5/L6</f>
        <v>2424.4166666666665</v>
      </c>
    </row>
    <row r="9" spans="1:13">
      <c r="A9" t="s">
        <v>125</v>
      </c>
      <c r="B9">
        <v>-1386</v>
      </c>
      <c r="E9">
        <f>B9</f>
        <v>-1386</v>
      </c>
      <c r="M9">
        <f>K9*12</f>
        <v>0</v>
      </c>
    </row>
    <row r="10" spans="1:13">
      <c r="A10" t="s">
        <v>129</v>
      </c>
      <c r="G10">
        <v>5000</v>
      </c>
      <c r="M10">
        <f>5000/12</f>
        <v>416.66666666666669</v>
      </c>
    </row>
    <row r="11" spans="1:13">
      <c r="E11">
        <f>SUM(E5:E9)</f>
        <v>39465</v>
      </c>
      <c r="G11" s="2">
        <f>SUM(G5:G10)</f>
        <v>167644.08000000002</v>
      </c>
      <c r="H11" s="2">
        <f>SUM(H5:H9)</f>
        <v>13420.34</v>
      </c>
      <c r="K11" s="35">
        <v>400</v>
      </c>
    </row>
    <row r="12" spans="1:13">
      <c r="G12" s="2"/>
      <c r="K12">
        <f>SUM(K6:K11)</f>
        <v>3950</v>
      </c>
    </row>
    <row r="13" spans="1:13">
      <c r="A13" t="s">
        <v>123</v>
      </c>
      <c r="B13">
        <v>3981</v>
      </c>
      <c r="E13">
        <f>B13</f>
        <v>3981</v>
      </c>
      <c r="J13" t="s">
        <v>144</v>
      </c>
      <c r="K13">
        <f>K12*12</f>
        <v>47400</v>
      </c>
      <c r="M13">
        <f>K13</f>
        <v>47400</v>
      </c>
    </row>
    <row r="14" spans="1:13">
      <c r="A14" t="s">
        <v>126</v>
      </c>
      <c r="B14">
        <v>1386</v>
      </c>
      <c r="E14">
        <f>B14</f>
        <v>1386</v>
      </c>
    </row>
    <row r="15" spans="1:13">
      <c r="A15" t="s">
        <v>127</v>
      </c>
      <c r="E15" s="25" t="e">
        <f>Budgetreport!#REF!</f>
        <v>#REF!</v>
      </c>
      <c r="K15">
        <f>K5*12</f>
        <v>125374.32</v>
      </c>
      <c r="M15">
        <f>K15</f>
        <v>125374.32</v>
      </c>
    </row>
    <row r="16" spans="1:13">
      <c r="A16" t="s">
        <v>128</v>
      </c>
      <c r="E16" t="e">
        <f>SUM(E13:E15)</f>
        <v>#REF!</v>
      </c>
      <c r="G16" s="2">
        <f>G11*I16</f>
        <v>10226.28888</v>
      </c>
      <c r="I16">
        <v>6.0999999999999999E-2</v>
      </c>
      <c r="K16">
        <f>SUM(K13:K15)</f>
        <v>172774.32</v>
      </c>
      <c r="L16" s="31">
        <f>G16/G11</f>
        <v>6.0999999999999992E-2</v>
      </c>
      <c r="M16">
        <f>SUM(M13:M15)</f>
        <v>172774.32</v>
      </c>
    </row>
    <row r="18" spans="5:11">
      <c r="E18" s="2">
        <f>G11-G5</f>
        <v>43200.000000000015</v>
      </c>
      <c r="F18">
        <v>41500</v>
      </c>
    </row>
    <row r="19" spans="5:11">
      <c r="E19" t="e">
        <f>E16=E18</f>
        <v>#REF!</v>
      </c>
      <c r="F19" t="e">
        <f>E16/F18</f>
        <v>#REF!</v>
      </c>
      <c r="K19">
        <f>K16*L16</f>
        <v>10539.23352</v>
      </c>
    </row>
    <row r="21" spans="5:11">
      <c r="E21">
        <f>E6+E7+E8</f>
        <v>10350</v>
      </c>
    </row>
    <row r="22" spans="5:11">
      <c r="E22">
        <v>0.17</v>
      </c>
    </row>
    <row r="23" spans="5:11">
      <c r="E23">
        <f>E21*E22</f>
        <v>1759.5000000000002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11" sqref="B11"/>
    </sheetView>
  </sheetViews>
  <sheetFormatPr defaultColWidth="11" defaultRowHeight="15.75"/>
  <sheetData>
    <row r="1" spans="1:6">
      <c r="A1" t="s">
        <v>124</v>
      </c>
    </row>
    <row r="4" spans="1:6">
      <c r="A4" t="s">
        <v>133</v>
      </c>
      <c r="B4">
        <v>35</v>
      </c>
      <c r="C4">
        <v>3</v>
      </c>
      <c r="D4">
        <v>48</v>
      </c>
      <c r="E4">
        <v>0.45</v>
      </c>
      <c r="F4">
        <f>B4*C4*D4*E4</f>
        <v>2268</v>
      </c>
    </row>
    <row r="5" spans="1:6">
      <c r="A5" t="s">
        <v>134</v>
      </c>
      <c r="F5">
        <v>500</v>
      </c>
    </row>
    <row r="6" spans="1:6">
      <c r="A6" t="s">
        <v>135</v>
      </c>
      <c r="B6">
        <v>8</v>
      </c>
      <c r="C6">
        <v>6</v>
      </c>
      <c r="D6">
        <v>22</v>
      </c>
      <c r="E6">
        <v>0.45</v>
      </c>
      <c r="F6">
        <f>B6*C6*D6*E6</f>
        <v>475.2</v>
      </c>
    </row>
    <row r="7" spans="1:6">
      <c r="A7" t="s">
        <v>135</v>
      </c>
      <c r="F7">
        <v>500</v>
      </c>
    </row>
    <row r="9" spans="1:6">
      <c r="F9">
        <f>SUM(F4:F8)</f>
        <v>3743.2</v>
      </c>
    </row>
    <row r="11" spans="1:6">
      <c r="A11" t="s">
        <v>58</v>
      </c>
    </row>
    <row r="12" spans="1:6">
      <c r="A12" t="s">
        <v>145</v>
      </c>
    </row>
    <row r="13" spans="1:6">
      <c r="A13" t="s">
        <v>146</v>
      </c>
    </row>
    <row r="14" spans="1:6">
      <c r="A14" t="s">
        <v>112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Budgetreport</vt:lpstr>
      <vt:lpstr>Giving</vt:lpstr>
      <vt:lpstr>Staff</vt:lpstr>
    </vt:vector>
  </TitlesOfParts>
  <Company>change management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taylor</dc:creator>
  <cp:lastModifiedBy>Graham</cp:lastModifiedBy>
  <cp:lastPrinted>2018-06-11T16:59:19Z</cp:lastPrinted>
  <dcterms:created xsi:type="dcterms:W3CDTF">2017-11-25T09:44:30Z</dcterms:created>
  <dcterms:modified xsi:type="dcterms:W3CDTF">2018-11-08T16:54:01Z</dcterms:modified>
</cp:coreProperties>
</file>